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gkkcanemu\Laskurit_04112024\"/>
    </mc:Choice>
  </mc:AlternateContent>
  <xr:revisionPtr revIDLastSave="0" documentId="13_ncr:1_{CF27684B-4F0E-485A-AD61-26BD09CEDE74}" xr6:coauthVersionLast="47" xr6:coauthVersionMax="47" xr10:uidLastSave="{00000000-0000-0000-0000-000000000000}"/>
  <bookViews>
    <workbookView xWindow="-19310" yWindow="-110" windowWidth="19420" windowHeight="10300" xr2:uid="{42FFF90D-598F-48A7-AB87-95242D4C423C}"/>
  </bookViews>
  <sheets>
    <sheet name="Kansilehti" sheetId="6" r:id="rId1"/>
    <sheet name="Kohteen järjes. kannattavuus" sheetId="3" r:id="rId2"/>
    <sheet name="IVLP 20v kannattavuus" sheetId="9" r:id="rId3"/>
    <sheet name="MLP 25v kannattavuus" sheetId="8" r:id="rId4"/>
    <sheet name="PV 30v kannattavuus 3" sheetId="11" r:id="rId5"/>
    <sheet name="PV 30v kannattavuus 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2" l="1"/>
  <c r="F16" i="11"/>
  <c r="D19" i="8"/>
  <c r="D19" i="9"/>
  <c r="I27" i="3" l="1"/>
  <c r="B27" i="3"/>
  <c r="F11" i="12" l="1"/>
  <c r="F10" i="12"/>
  <c r="D28" i="9"/>
  <c r="D28" i="8"/>
  <c r="D70" i="9"/>
  <c r="D11" i="8"/>
  <c r="D9" i="8"/>
  <c r="D11" i="9"/>
  <c r="H38" i="8" l="1"/>
  <c r="F38" i="8"/>
  <c r="F38" i="9"/>
  <c r="H38" i="9"/>
  <c r="G38" i="9"/>
  <c r="I38" i="9" l="1"/>
  <c r="H44" i="12" l="1"/>
  <c r="G38" i="8"/>
  <c r="E38" i="9"/>
  <c r="E39" i="9" s="1"/>
  <c r="E38" i="8"/>
  <c r="E44" i="11"/>
  <c r="E44" i="12"/>
  <c r="G39" i="9" l="1"/>
  <c r="F39" i="9"/>
  <c r="H39" i="9" s="1"/>
  <c r="H44" i="11"/>
  <c r="E45" i="11" s="1"/>
  <c r="G45" i="11" s="1"/>
  <c r="D75" i="8"/>
  <c r="I38" i="8" s="1"/>
  <c r="I44" i="11" l="1"/>
  <c r="F24" i="12" l="1"/>
  <c r="D13" i="8" l="1"/>
  <c r="D26" i="8" s="1"/>
  <c r="D13" i="9"/>
  <c r="D26" i="9" s="1"/>
  <c r="J18" i="3" l="1"/>
  <c r="F12" i="11"/>
  <c r="J22" i="3" l="1"/>
  <c r="J58" i="12"/>
  <c r="J59" i="12"/>
  <c r="J58" i="11"/>
  <c r="J59" i="11"/>
  <c r="B18" i="3" l="1"/>
  <c r="F28" i="12" l="1"/>
  <c r="B114" i="12"/>
  <c r="F113" i="12"/>
  <c r="F112" i="12"/>
  <c r="F111" i="12"/>
  <c r="F110" i="12"/>
  <c r="F109" i="12"/>
  <c r="F108" i="12"/>
  <c r="F107" i="12"/>
  <c r="F106" i="12"/>
  <c r="F105" i="12"/>
  <c r="F104" i="12"/>
  <c r="F103" i="12"/>
  <c r="F102" i="12"/>
  <c r="D98" i="12"/>
  <c r="G109" i="12" s="1"/>
  <c r="J74" i="12"/>
  <c r="K74" i="12" s="1"/>
  <c r="J73" i="12"/>
  <c r="K73" i="12" s="1"/>
  <c r="J72" i="12"/>
  <c r="K72" i="12" s="1"/>
  <c r="J71" i="12"/>
  <c r="K71" i="12" s="1"/>
  <c r="J70" i="12"/>
  <c r="K70" i="12" s="1"/>
  <c r="J69" i="12"/>
  <c r="K69" i="12" s="1"/>
  <c r="J68" i="12"/>
  <c r="K68" i="12" s="1"/>
  <c r="J67" i="12"/>
  <c r="K67" i="12" s="1"/>
  <c r="J66" i="12"/>
  <c r="K66" i="12" s="1"/>
  <c r="J65" i="12"/>
  <c r="K65" i="12" s="1"/>
  <c r="J64" i="12"/>
  <c r="J63" i="12"/>
  <c r="J62" i="12"/>
  <c r="J61" i="12"/>
  <c r="J60" i="12"/>
  <c r="J57" i="12"/>
  <c r="J56" i="12"/>
  <c r="J55" i="12"/>
  <c r="J54" i="12"/>
  <c r="J53" i="12"/>
  <c r="J52" i="12"/>
  <c r="J51" i="12"/>
  <c r="J50" i="12"/>
  <c r="J49" i="12"/>
  <c r="J48" i="12"/>
  <c r="J47" i="12"/>
  <c r="J46" i="12"/>
  <c r="L45" i="12"/>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J45" i="12"/>
  <c r="R44" i="12"/>
  <c r="F35" i="12"/>
  <c r="F31" i="12"/>
  <c r="F21" i="12"/>
  <c r="D91" i="12" s="1"/>
  <c r="H27" i="3" s="1"/>
  <c r="F19" i="12"/>
  <c r="F14" i="12"/>
  <c r="E111" i="12" s="1"/>
  <c r="I26" i="3"/>
  <c r="B26" i="3"/>
  <c r="F44" i="12" l="1"/>
  <c r="J27" i="3"/>
  <c r="G108" i="12"/>
  <c r="G105" i="12"/>
  <c r="I44" i="12"/>
  <c r="E45" i="12"/>
  <c r="G45" i="12" s="1"/>
  <c r="B45" i="12"/>
  <c r="M45" i="12" s="1"/>
  <c r="D90" i="12"/>
  <c r="G104" i="12"/>
  <c r="G113" i="12"/>
  <c r="G110" i="12"/>
  <c r="G102" i="12"/>
  <c r="G111" i="12"/>
  <c r="K111" i="12" s="1"/>
  <c r="G107" i="12"/>
  <c r="G103" i="12"/>
  <c r="G112" i="12"/>
  <c r="E105" i="12"/>
  <c r="K105" i="12" s="1"/>
  <c r="C45" i="12"/>
  <c r="C46" i="12" s="1"/>
  <c r="C47" i="12" s="1"/>
  <c r="C48" i="12" s="1"/>
  <c r="C49" i="12" s="1"/>
  <c r="C50" i="12" s="1"/>
  <c r="C51" i="12" s="1"/>
  <c r="C52" i="12" s="1"/>
  <c r="C53" i="12" s="1"/>
  <c r="C54" i="12" s="1"/>
  <c r="C55" i="12" s="1"/>
  <c r="C56" i="12" s="1"/>
  <c r="C57" i="12" s="1"/>
  <c r="C58" i="12" s="1"/>
  <c r="C59" i="12" s="1"/>
  <c r="C60" i="12" s="1"/>
  <c r="C61" i="12" s="1"/>
  <c r="C62" i="12" s="1"/>
  <c r="C63" i="12" s="1"/>
  <c r="C64" i="12" s="1"/>
  <c r="C65" i="12" s="1"/>
  <c r="C66" i="12" s="1"/>
  <c r="C67" i="12" s="1"/>
  <c r="C68" i="12" s="1"/>
  <c r="C69" i="12" s="1"/>
  <c r="C70" i="12" s="1"/>
  <c r="C71" i="12" s="1"/>
  <c r="C72" i="12" s="1"/>
  <c r="C73" i="12" s="1"/>
  <c r="C74" i="12" s="1"/>
  <c r="E112" i="12"/>
  <c r="E109" i="12"/>
  <c r="K109" i="12" s="1"/>
  <c r="E106" i="12"/>
  <c r="E113" i="12"/>
  <c r="E104" i="12"/>
  <c r="C113" i="12"/>
  <c r="C112" i="12"/>
  <c r="C104" i="12"/>
  <c r="C111" i="12"/>
  <c r="C103" i="12"/>
  <c r="C109" i="12"/>
  <c r="C108" i="12"/>
  <c r="C110" i="12"/>
  <c r="C107" i="12"/>
  <c r="C102" i="12"/>
  <c r="C105" i="12"/>
  <c r="C106" i="12"/>
  <c r="J75" i="12"/>
  <c r="E107" i="12"/>
  <c r="G106" i="12"/>
  <c r="E108" i="12"/>
  <c r="K108" i="12" s="1"/>
  <c r="E102" i="12"/>
  <c r="K102" i="12" s="1"/>
  <c r="E110" i="12"/>
  <c r="K110" i="12" s="1"/>
  <c r="E103" i="12"/>
  <c r="F103" i="11"/>
  <c r="F104" i="11"/>
  <c r="F105" i="11"/>
  <c r="F106" i="11"/>
  <c r="F107" i="11"/>
  <c r="F108" i="11"/>
  <c r="F109" i="11"/>
  <c r="F110" i="11"/>
  <c r="F111" i="11"/>
  <c r="F112" i="11"/>
  <c r="F113" i="11"/>
  <c r="F102" i="11"/>
  <c r="F31" i="11"/>
  <c r="F44" i="11" s="1"/>
  <c r="B114" i="11"/>
  <c r="C113" i="11"/>
  <c r="C112" i="11"/>
  <c r="C111" i="11"/>
  <c r="C110" i="11"/>
  <c r="C109" i="11"/>
  <c r="C108" i="11"/>
  <c r="C107" i="11"/>
  <c r="C106" i="11"/>
  <c r="C105" i="11"/>
  <c r="C104" i="11"/>
  <c r="C103" i="11"/>
  <c r="C102" i="11"/>
  <c r="D98" i="11"/>
  <c r="G113" i="11" s="1"/>
  <c r="J74" i="11"/>
  <c r="K74" i="11" s="1"/>
  <c r="J72" i="11"/>
  <c r="K72" i="11" s="1"/>
  <c r="J66" i="11"/>
  <c r="K66" i="11" s="1"/>
  <c r="L45" i="11"/>
  <c r="L46" i="11" s="1"/>
  <c r="L47" i="11" s="1"/>
  <c r="L48" i="11" s="1"/>
  <c r="L49" i="11" s="1"/>
  <c r="L50" i="11" s="1"/>
  <c r="L51" i="11" s="1"/>
  <c r="L52" i="11" s="1"/>
  <c r="L53" i="11" s="1"/>
  <c r="L54" i="11" s="1"/>
  <c r="L55" i="11" s="1"/>
  <c r="L56" i="11" s="1"/>
  <c r="L57" i="11" s="1"/>
  <c r="L58" i="11" s="1"/>
  <c r="L59" i="11" s="1"/>
  <c r="L60" i="11" s="1"/>
  <c r="L61" i="11" s="1"/>
  <c r="L62" i="11" s="1"/>
  <c r="L63" i="11" s="1"/>
  <c r="L64" i="11" s="1"/>
  <c r="L65" i="11" s="1"/>
  <c r="L66" i="11" s="1"/>
  <c r="L67" i="11" s="1"/>
  <c r="L68" i="11" s="1"/>
  <c r="L69" i="11" s="1"/>
  <c r="L70" i="11" s="1"/>
  <c r="L71" i="11" s="1"/>
  <c r="L72" i="11" s="1"/>
  <c r="L73" i="11" s="1"/>
  <c r="L74" i="11" s="1"/>
  <c r="R44" i="11"/>
  <c r="J70" i="11"/>
  <c r="K70" i="11" s="1"/>
  <c r="F35" i="11"/>
  <c r="F21" i="11"/>
  <c r="F19" i="11"/>
  <c r="F14" i="11"/>
  <c r="E112" i="11" s="1"/>
  <c r="J63" i="8"/>
  <c r="J62" i="8"/>
  <c r="J61" i="8"/>
  <c r="K61" i="8" s="1"/>
  <c r="J60" i="8"/>
  <c r="J59" i="8"/>
  <c r="J58" i="8"/>
  <c r="J57" i="8"/>
  <c r="J56" i="8"/>
  <c r="J55" i="8"/>
  <c r="J54" i="8"/>
  <c r="J53" i="8"/>
  <c r="J52" i="8"/>
  <c r="J51" i="8"/>
  <c r="J50" i="8"/>
  <c r="J49" i="8"/>
  <c r="J48" i="8"/>
  <c r="J47" i="8"/>
  <c r="J46" i="8"/>
  <c r="J45" i="8"/>
  <c r="J44" i="8"/>
  <c r="J43" i="8"/>
  <c r="J42" i="8"/>
  <c r="J41" i="8"/>
  <c r="J40" i="8"/>
  <c r="J39" i="8"/>
  <c r="Q38" i="8"/>
  <c r="O38" i="8"/>
  <c r="E39" i="8"/>
  <c r="G39" i="8" s="1"/>
  <c r="C103" i="8"/>
  <c r="K44" i="12" l="1"/>
  <c r="O44" i="12" s="1"/>
  <c r="K103" i="12"/>
  <c r="F39" i="8"/>
  <c r="H39" i="8" s="1"/>
  <c r="F45" i="12"/>
  <c r="H45" i="12" s="1"/>
  <c r="E46" i="12" s="1"/>
  <c r="G46" i="12" s="1"/>
  <c r="F45" i="11"/>
  <c r="H45" i="11" s="1"/>
  <c r="B46" i="12"/>
  <c r="D46" i="12" s="1"/>
  <c r="J26" i="3"/>
  <c r="K59" i="8"/>
  <c r="K63" i="8"/>
  <c r="J64" i="8"/>
  <c r="K112" i="12"/>
  <c r="D45" i="12"/>
  <c r="N45" i="12" s="1"/>
  <c r="G114" i="12"/>
  <c r="D116" i="12" s="1"/>
  <c r="K107" i="12"/>
  <c r="K104" i="12"/>
  <c r="K113" i="12"/>
  <c r="C106" i="8"/>
  <c r="C105" i="8"/>
  <c r="C104" i="8"/>
  <c r="C101" i="8"/>
  <c r="C109" i="8"/>
  <c r="C100" i="8"/>
  <c r="C102" i="8"/>
  <c r="C98" i="8"/>
  <c r="C108" i="8"/>
  <c r="C99" i="8"/>
  <c r="C107" i="8"/>
  <c r="H111" i="12"/>
  <c r="I111" i="12" s="1"/>
  <c r="L111" i="12" s="1"/>
  <c r="H105" i="12"/>
  <c r="I105" i="12" s="1"/>
  <c r="L105" i="12" s="1"/>
  <c r="H104" i="12"/>
  <c r="I104" i="12" s="1"/>
  <c r="L104" i="12" s="1"/>
  <c r="H106" i="12"/>
  <c r="I106" i="12" s="1"/>
  <c r="L106" i="12" s="1"/>
  <c r="C114" i="12"/>
  <c r="H102" i="12"/>
  <c r="J102" i="12" s="1"/>
  <c r="H112" i="12"/>
  <c r="I112" i="12" s="1"/>
  <c r="L112" i="12" s="1"/>
  <c r="E83" i="12"/>
  <c r="H107" i="12"/>
  <c r="I107" i="12" s="1"/>
  <c r="L107" i="12" s="1"/>
  <c r="H113" i="12"/>
  <c r="I113" i="12" s="1"/>
  <c r="L113" i="12" s="1"/>
  <c r="H110" i="12"/>
  <c r="I110" i="12" s="1"/>
  <c r="L110" i="12" s="1"/>
  <c r="K106" i="12"/>
  <c r="H108" i="12"/>
  <c r="I108" i="12" s="1"/>
  <c r="L108" i="12" s="1"/>
  <c r="H109" i="12"/>
  <c r="I109" i="12" s="1"/>
  <c r="L109" i="12" s="1"/>
  <c r="H103" i="12"/>
  <c r="I103" i="12" s="1"/>
  <c r="L103" i="12" s="1"/>
  <c r="C114" i="11"/>
  <c r="E108" i="11"/>
  <c r="C45" i="11"/>
  <c r="C46" i="11" s="1"/>
  <c r="C47" i="11" s="1"/>
  <c r="C48" i="11" s="1"/>
  <c r="C49" i="11" s="1"/>
  <c r="C50" i="11" s="1"/>
  <c r="C51" i="11" s="1"/>
  <c r="C52" i="11" s="1"/>
  <c r="C53" i="11" s="1"/>
  <c r="C54" i="11" s="1"/>
  <c r="C55" i="11" s="1"/>
  <c r="C56" i="11" s="1"/>
  <c r="C57" i="11" s="1"/>
  <c r="C58" i="11" s="1"/>
  <c r="C59" i="11" s="1"/>
  <c r="C60" i="11" s="1"/>
  <c r="C61" i="11" s="1"/>
  <c r="C62" i="11" s="1"/>
  <c r="C63" i="11" s="1"/>
  <c r="C64" i="11" s="1"/>
  <c r="C65" i="11" s="1"/>
  <c r="C66" i="11" s="1"/>
  <c r="C67" i="11" s="1"/>
  <c r="C68" i="11" s="1"/>
  <c r="C69" i="11" s="1"/>
  <c r="C70" i="11" s="1"/>
  <c r="C71" i="11" s="1"/>
  <c r="C72" i="11" s="1"/>
  <c r="C73" i="11" s="1"/>
  <c r="C74" i="11" s="1"/>
  <c r="E105" i="11"/>
  <c r="E109" i="11"/>
  <c r="E113" i="11"/>
  <c r="K113" i="11" s="1"/>
  <c r="E107" i="11"/>
  <c r="E104" i="11"/>
  <c r="E102" i="11"/>
  <c r="E106" i="11"/>
  <c r="E110" i="11"/>
  <c r="E103" i="11"/>
  <c r="E111" i="11"/>
  <c r="F28" i="11"/>
  <c r="D90" i="11"/>
  <c r="B45" i="11"/>
  <c r="D91" i="11"/>
  <c r="H26" i="3" s="1"/>
  <c r="H113" i="11"/>
  <c r="I113" i="11" s="1"/>
  <c r="L113" i="11" s="1"/>
  <c r="J73" i="11"/>
  <c r="K73" i="11" s="1"/>
  <c r="J71" i="11"/>
  <c r="K71" i="11" s="1"/>
  <c r="J69" i="11"/>
  <c r="K69" i="11" s="1"/>
  <c r="J67" i="11"/>
  <c r="K67" i="11" s="1"/>
  <c r="J65" i="11"/>
  <c r="K65" i="11" s="1"/>
  <c r="J63" i="11"/>
  <c r="J62" i="11"/>
  <c r="J61" i="11"/>
  <c r="J60" i="11"/>
  <c r="J57" i="11"/>
  <c r="J56" i="11"/>
  <c r="J55" i="11"/>
  <c r="J54" i="11"/>
  <c r="J53" i="11"/>
  <c r="J52" i="11"/>
  <c r="J51" i="11"/>
  <c r="J50" i="11"/>
  <c r="J49" i="11"/>
  <c r="J48" i="11"/>
  <c r="J47" i="11"/>
  <c r="J46" i="11"/>
  <c r="J45" i="11"/>
  <c r="J64" i="11"/>
  <c r="J68" i="11"/>
  <c r="K68" i="11" s="1"/>
  <c r="G102" i="11"/>
  <c r="G103" i="11"/>
  <c r="G104" i="11"/>
  <c r="G105" i="11"/>
  <c r="G106" i="11"/>
  <c r="G107" i="11"/>
  <c r="G108" i="11"/>
  <c r="G109" i="11"/>
  <c r="G110" i="11"/>
  <c r="G111" i="11"/>
  <c r="G112" i="11"/>
  <c r="K60" i="8"/>
  <c r="K62" i="8"/>
  <c r="Q39" i="8"/>
  <c r="Q40" i="8" s="1"/>
  <c r="Q41" i="8" s="1"/>
  <c r="Q42" i="8" s="1"/>
  <c r="Q43" i="8" s="1"/>
  <c r="Q44" i="8" s="1"/>
  <c r="Q45" i="8" s="1"/>
  <c r="Q46" i="8" s="1"/>
  <c r="Q47" i="8" s="1"/>
  <c r="Q48" i="8" s="1"/>
  <c r="Q49" i="8" s="1"/>
  <c r="Q50" i="8" s="1"/>
  <c r="Q51" i="8" s="1"/>
  <c r="Q52" i="8" s="1"/>
  <c r="Q53" i="8" s="1"/>
  <c r="Q54" i="8" s="1"/>
  <c r="Q55" i="8" s="1"/>
  <c r="Q56" i="8" s="1"/>
  <c r="Q57" i="8" s="1"/>
  <c r="Q58" i="8" s="1"/>
  <c r="Q59" i="8" s="1"/>
  <c r="Q60" i="8" s="1"/>
  <c r="Q61" i="8" s="1"/>
  <c r="Q62" i="8" s="1"/>
  <c r="Q63" i="8" s="1"/>
  <c r="K45" i="12" l="1"/>
  <c r="O45" i="12" s="1"/>
  <c r="F46" i="12"/>
  <c r="H46" i="12" s="1"/>
  <c r="E47" i="12" s="1"/>
  <c r="G47" i="12" s="1"/>
  <c r="K44" i="11"/>
  <c r="O44" i="11" s="1"/>
  <c r="E46" i="11"/>
  <c r="G46" i="11" s="1"/>
  <c r="K45" i="11"/>
  <c r="B47" i="12"/>
  <c r="D47" i="12" s="1"/>
  <c r="M46" i="12"/>
  <c r="N46" i="12" s="1"/>
  <c r="K114" i="12"/>
  <c r="J108" i="12"/>
  <c r="J107" i="12"/>
  <c r="J106" i="12"/>
  <c r="J103" i="12"/>
  <c r="J112" i="12"/>
  <c r="H114" i="12"/>
  <c r="I102" i="12"/>
  <c r="J105" i="12"/>
  <c r="J113" i="12"/>
  <c r="J111" i="12"/>
  <c r="J109" i="12"/>
  <c r="J110" i="12"/>
  <c r="J104" i="12"/>
  <c r="H105" i="11"/>
  <c r="J105" i="11" s="1"/>
  <c r="K105" i="11"/>
  <c r="M45" i="11"/>
  <c r="D45" i="11"/>
  <c r="B46" i="11"/>
  <c r="H112" i="11"/>
  <c r="J112" i="11" s="1"/>
  <c r="K112" i="11"/>
  <c r="H104" i="11"/>
  <c r="J104" i="11" s="1"/>
  <c r="K104" i="11"/>
  <c r="H111" i="11"/>
  <c r="J111" i="11" s="1"/>
  <c r="K111" i="11"/>
  <c r="H110" i="11"/>
  <c r="J110" i="11" s="1"/>
  <c r="K110" i="11"/>
  <c r="H103" i="11"/>
  <c r="J103" i="11" s="1"/>
  <c r="K103" i="11"/>
  <c r="E83" i="11"/>
  <c r="H109" i="11"/>
  <c r="J109" i="11" s="1"/>
  <c r="K109" i="11"/>
  <c r="H108" i="11"/>
  <c r="J108" i="11" s="1"/>
  <c r="K108" i="11"/>
  <c r="J113" i="11"/>
  <c r="H102" i="11"/>
  <c r="I102" i="11" s="1"/>
  <c r="G114" i="11"/>
  <c r="D116" i="11" s="1"/>
  <c r="K102" i="11"/>
  <c r="J75" i="11"/>
  <c r="H107" i="11"/>
  <c r="J107" i="11" s="1"/>
  <c r="K107" i="11"/>
  <c r="H106" i="11"/>
  <c r="J106" i="11" s="1"/>
  <c r="K106" i="11"/>
  <c r="Q64" i="8"/>
  <c r="M47" i="12" l="1"/>
  <c r="N47" i="12" s="1"/>
  <c r="B48" i="12"/>
  <c r="B49" i="12" s="1"/>
  <c r="P44" i="11"/>
  <c r="F47" i="12"/>
  <c r="K46" i="12"/>
  <c r="O46" i="12" s="1"/>
  <c r="F46" i="11"/>
  <c r="J114" i="12"/>
  <c r="D48" i="12"/>
  <c r="I114" i="12"/>
  <c r="D117" i="12" s="1"/>
  <c r="L102" i="12"/>
  <c r="L114" i="12" s="1"/>
  <c r="G27" i="3" s="1"/>
  <c r="I110" i="11"/>
  <c r="L110" i="11" s="1"/>
  <c r="I105" i="11"/>
  <c r="L105" i="11" s="1"/>
  <c r="L102" i="11"/>
  <c r="M46" i="11"/>
  <c r="D46" i="11"/>
  <c r="B47" i="11"/>
  <c r="I111" i="11"/>
  <c r="L111" i="11" s="1"/>
  <c r="N45" i="11"/>
  <c r="I103" i="11"/>
  <c r="L103" i="11" s="1"/>
  <c r="I107" i="11"/>
  <c r="L107" i="11" s="1"/>
  <c r="I108" i="11"/>
  <c r="L108" i="11" s="1"/>
  <c r="I104" i="11"/>
  <c r="L104" i="11" s="1"/>
  <c r="I106" i="11"/>
  <c r="L106" i="11" s="1"/>
  <c r="K114" i="11"/>
  <c r="I109" i="11"/>
  <c r="L109" i="11" s="1"/>
  <c r="I112" i="11"/>
  <c r="L112" i="11" s="1"/>
  <c r="H114" i="11"/>
  <c r="J102" i="11"/>
  <c r="J114" i="11" s="1"/>
  <c r="M48" i="12" l="1"/>
  <c r="H46" i="11"/>
  <c r="E47" i="11" s="1"/>
  <c r="G47" i="11" s="1"/>
  <c r="H47" i="12"/>
  <c r="E48" i="12" s="1"/>
  <c r="G48" i="12" s="1"/>
  <c r="K47" i="12"/>
  <c r="O47" i="12" s="1"/>
  <c r="K46" i="11"/>
  <c r="D49" i="12"/>
  <c r="M49" i="12"/>
  <c r="B50" i="12"/>
  <c r="N48" i="12"/>
  <c r="N46" i="11"/>
  <c r="M47" i="11"/>
  <c r="D47" i="11"/>
  <c r="B48" i="11"/>
  <c r="L114" i="11"/>
  <c r="G26" i="3" s="1"/>
  <c r="O45" i="11"/>
  <c r="I114" i="11"/>
  <c r="D117" i="11" s="1"/>
  <c r="F48" i="12" l="1"/>
  <c r="K48" i="12" s="1"/>
  <c r="O48" i="12" s="1"/>
  <c r="F47" i="11"/>
  <c r="K47" i="11" s="1"/>
  <c r="O46" i="11"/>
  <c r="Q46" i="11" s="1"/>
  <c r="R46" i="11" s="1"/>
  <c r="B51" i="12"/>
  <c r="M50" i="12"/>
  <c r="D50" i="12"/>
  <c r="N49" i="12"/>
  <c r="M48" i="11"/>
  <c r="D48" i="11"/>
  <c r="B49" i="11"/>
  <c r="Q45" i="11"/>
  <c r="R45" i="11" s="1"/>
  <c r="P45" i="11"/>
  <c r="N47" i="11"/>
  <c r="H47" i="11" l="1"/>
  <c r="E48" i="11" s="1"/>
  <c r="G48" i="11" s="1"/>
  <c r="P46" i="11"/>
  <c r="H48" i="12"/>
  <c r="E49" i="12" s="1"/>
  <c r="G49" i="12" s="1"/>
  <c r="M51" i="12"/>
  <c r="B52" i="12"/>
  <c r="D51" i="12"/>
  <c r="N50" i="12"/>
  <c r="O47" i="11"/>
  <c r="M49" i="11"/>
  <c r="D49" i="11"/>
  <c r="B50" i="11"/>
  <c r="N48" i="11"/>
  <c r="F49" i="12" l="1"/>
  <c r="K49" i="12" s="1"/>
  <c r="O49" i="12" s="1"/>
  <c r="F48" i="11"/>
  <c r="H48" i="11" s="1"/>
  <c r="N51" i="12"/>
  <c r="D52" i="12"/>
  <c r="M52" i="12"/>
  <c r="B53" i="12"/>
  <c r="N49" i="11"/>
  <c r="Q47" i="11"/>
  <c r="R47" i="11" s="1"/>
  <c r="M50" i="11"/>
  <c r="D50" i="11"/>
  <c r="B51" i="11"/>
  <c r="P47" i="11"/>
  <c r="H49" i="12" l="1"/>
  <c r="E50" i="12" s="1"/>
  <c r="K48" i="11"/>
  <c r="O48" i="11" s="1"/>
  <c r="E49" i="11"/>
  <c r="G49" i="11" s="1"/>
  <c r="D53" i="12"/>
  <c r="B54" i="12"/>
  <c r="M53" i="12"/>
  <c r="N52" i="12"/>
  <c r="N50" i="11"/>
  <c r="M51" i="11"/>
  <c r="D51" i="11"/>
  <c r="B52" i="11"/>
  <c r="G50" i="12" l="1"/>
  <c r="F50" i="12"/>
  <c r="H50" i="12" s="1"/>
  <c r="Q48" i="11"/>
  <c r="R48" i="11" s="1"/>
  <c r="P48" i="11"/>
  <c r="F49" i="11"/>
  <c r="B55" i="12"/>
  <c r="D54" i="12"/>
  <c r="M54" i="12"/>
  <c r="N53" i="12"/>
  <c r="M52" i="11"/>
  <c r="D52" i="11"/>
  <c r="B53" i="11"/>
  <c r="N51" i="11"/>
  <c r="H49" i="11" l="1"/>
  <c r="E50" i="11" s="1"/>
  <c r="G50" i="11" s="1"/>
  <c r="K50" i="12"/>
  <c r="O50" i="12" s="1"/>
  <c r="E51" i="12"/>
  <c r="G51" i="12" s="1"/>
  <c r="K49" i="11"/>
  <c r="O49" i="11" s="1"/>
  <c r="Q49" i="11" s="1"/>
  <c r="R49" i="11" s="1"/>
  <c r="N54" i="12"/>
  <c r="B56" i="12"/>
  <c r="D55" i="12"/>
  <c r="M55" i="12"/>
  <c r="M53" i="11"/>
  <c r="D53" i="11"/>
  <c r="B54" i="11"/>
  <c r="N52" i="11"/>
  <c r="F50" i="11" l="1"/>
  <c r="H50" i="11" s="1"/>
  <c r="F51" i="12"/>
  <c r="H51" i="12" s="1"/>
  <c r="E52" i="12" s="1"/>
  <c r="G52" i="12" s="1"/>
  <c r="P49" i="11"/>
  <c r="N53" i="11"/>
  <c r="N55" i="12"/>
  <c r="B57" i="12"/>
  <c r="D56" i="12"/>
  <c r="M56" i="12"/>
  <c r="M54" i="11"/>
  <c r="D54" i="11"/>
  <c r="B55" i="11"/>
  <c r="K50" i="11" l="1"/>
  <c r="O50" i="11" s="1"/>
  <c r="Q50" i="11" s="1"/>
  <c r="R50" i="11" s="1"/>
  <c r="E51" i="11"/>
  <c r="G51" i="11" s="1"/>
  <c r="K51" i="12"/>
  <c r="O51" i="12" s="1"/>
  <c r="F52" i="12"/>
  <c r="N56" i="12"/>
  <c r="D57" i="12"/>
  <c r="M57" i="12"/>
  <c r="B58" i="12"/>
  <c r="M55" i="11"/>
  <c r="D55" i="11"/>
  <c r="B56" i="11"/>
  <c r="N54" i="11"/>
  <c r="H52" i="12" l="1"/>
  <c r="E53" i="12" s="1"/>
  <c r="G53" i="12" s="1"/>
  <c r="F51" i="11"/>
  <c r="K51" i="11" s="1"/>
  <c r="O51" i="11" s="1"/>
  <c r="Q51" i="11" s="1"/>
  <c r="R51" i="11" s="1"/>
  <c r="P50" i="11"/>
  <c r="K52" i="12"/>
  <c r="O52" i="12" s="1"/>
  <c r="N55" i="11"/>
  <c r="B59" i="12"/>
  <c r="D58" i="12"/>
  <c r="M58" i="12"/>
  <c r="N57" i="12"/>
  <c r="M56" i="11"/>
  <c r="D56" i="11"/>
  <c r="B57" i="11"/>
  <c r="F53" i="12" l="1"/>
  <c r="K53" i="12" s="1"/>
  <c r="O53" i="12" s="1"/>
  <c r="P51" i="11"/>
  <c r="H51" i="11"/>
  <c r="E52" i="11" s="1"/>
  <c r="G52" i="11" s="1"/>
  <c r="N58" i="12"/>
  <c r="B60" i="12"/>
  <c r="D59" i="12"/>
  <c r="M59" i="12"/>
  <c r="N56" i="11"/>
  <c r="M57" i="11"/>
  <c r="D57" i="11"/>
  <c r="B58" i="11"/>
  <c r="H53" i="12" l="1"/>
  <c r="E54" i="12" s="1"/>
  <c r="G54" i="12" s="1"/>
  <c r="F52" i="11"/>
  <c r="H52" i="11" s="1"/>
  <c r="N59" i="12"/>
  <c r="B61" i="12"/>
  <c r="D60" i="12"/>
  <c r="M60" i="12"/>
  <c r="N57" i="11"/>
  <c r="M58" i="11"/>
  <c r="D58" i="11"/>
  <c r="B59" i="11"/>
  <c r="F54" i="12" l="1"/>
  <c r="K54" i="12" s="1"/>
  <c r="O54" i="12" s="1"/>
  <c r="K52" i="11"/>
  <c r="O52" i="11" s="1"/>
  <c r="E53" i="11"/>
  <c r="G53" i="11" s="1"/>
  <c r="N58" i="11"/>
  <c r="B62" i="12"/>
  <c r="M61" i="12"/>
  <c r="D61" i="12"/>
  <c r="N60" i="12"/>
  <c r="M59" i="11"/>
  <c r="D59" i="11"/>
  <c r="B60" i="11"/>
  <c r="H54" i="12" l="1"/>
  <c r="E55" i="12" s="1"/>
  <c r="Q52" i="11"/>
  <c r="R52" i="11" s="1"/>
  <c r="P52" i="11"/>
  <c r="F53" i="11"/>
  <c r="K53" i="11" s="1"/>
  <c r="O53" i="11" s="1"/>
  <c r="N61" i="12"/>
  <c r="N59" i="11"/>
  <c r="D62" i="12"/>
  <c r="M62" i="12"/>
  <c r="B63" i="12"/>
  <c r="M60" i="11"/>
  <c r="D60" i="11"/>
  <c r="B61" i="11"/>
  <c r="N60" i="11" l="1"/>
  <c r="F55" i="12"/>
  <c r="H55" i="12" s="1"/>
  <c r="E56" i="12" s="1"/>
  <c r="G55" i="12"/>
  <c r="H53" i="11"/>
  <c r="E54" i="11" s="1"/>
  <c r="Q53" i="11"/>
  <c r="R53" i="11" s="1"/>
  <c r="P53" i="11"/>
  <c r="N62" i="12"/>
  <c r="M63" i="12"/>
  <c r="B64" i="12"/>
  <c r="D63" i="12"/>
  <c r="M61" i="11"/>
  <c r="D61" i="11"/>
  <c r="B62" i="11"/>
  <c r="F54" i="11" l="1"/>
  <c r="G54" i="11"/>
  <c r="F56" i="12"/>
  <c r="H56" i="12" s="1"/>
  <c r="E57" i="12" s="1"/>
  <c r="G57" i="12" s="1"/>
  <c r="G56" i="12"/>
  <c r="K55" i="12"/>
  <c r="O55" i="12" s="1"/>
  <c r="H54" i="11"/>
  <c r="E55" i="11" s="1"/>
  <c r="N63" i="12"/>
  <c r="N61" i="11"/>
  <c r="B65" i="12"/>
  <c r="M64" i="12"/>
  <c r="D64" i="12"/>
  <c r="M62" i="11"/>
  <c r="D62" i="11"/>
  <c r="B63" i="11"/>
  <c r="K54" i="11" l="1"/>
  <c r="O54" i="11" s="1"/>
  <c r="Q54" i="11" s="1"/>
  <c r="R54" i="11" s="1"/>
  <c r="F55" i="11"/>
  <c r="G55" i="11"/>
  <c r="K56" i="12"/>
  <c r="O56" i="12" s="1"/>
  <c r="F57" i="12"/>
  <c r="H57" i="12" s="1"/>
  <c r="E58" i="12" s="1"/>
  <c r="G58" i="12" s="1"/>
  <c r="H55" i="11"/>
  <c r="E56" i="11" s="1"/>
  <c r="N64" i="12"/>
  <c r="N62" i="11"/>
  <c r="M65" i="12"/>
  <c r="B66" i="12"/>
  <c r="D65" i="12"/>
  <c r="M63" i="11"/>
  <c r="D63" i="11"/>
  <c r="B64" i="11"/>
  <c r="P54" i="11" l="1"/>
  <c r="K55" i="11"/>
  <c r="O55" i="11" s="1"/>
  <c r="Q55" i="11" s="1"/>
  <c r="R55" i="11" s="1"/>
  <c r="F56" i="11"/>
  <c r="H56" i="11" s="1"/>
  <c r="E57" i="11" s="1"/>
  <c r="G57" i="11" s="1"/>
  <c r="G56" i="11"/>
  <c r="K57" i="12"/>
  <c r="O57" i="12" s="1"/>
  <c r="F58" i="12"/>
  <c r="H58" i="12" s="1"/>
  <c r="E59" i="12" s="1"/>
  <c r="G59" i="12" s="1"/>
  <c r="N65" i="12"/>
  <c r="O65" i="12" s="1"/>
  <c r="B67" i="12"/>
  <c r="M66" i="12"/>
  <c r="D66" i="12"/>
  <c r="D64" i="11"/>
  <c r="B65" i="11"/>
  <c r="M64" i="11"/>
  <c r="N63" i="11"/>
  <c r="P55" i="11" l="1"/>
  <c r="K56" i="11"/>
  <c r="O56" i="11" s="1"/>
  <c r="Q56" i="11" s="1"/>
  <c r="R56" i="11" s="1"/>
  <c r="F57" i="11"/>
  <c r="H57" i="11" s="1"/>
  <c r="E58" i="11" s="1"/>
  <c r="G58" i="11" s="1"/>
  <c r="K58" i="12"/>
  <c r="O58" i="12" s="1"/>
  <c r="F59" i="12"/>
  <c r="H59" i="12" s="1"/>
  <c r="E60" i="12" s="1"/>
  <c r="G60" i="12" s="1"/>
  <c r="N66" i="12"/>
  <c r="O66" i="12" s="1"/>
  <c r="B68" i="12"/>
  <c r="D67" i="12"/>
  <c r="M67" i="12"/>
  <c r="M65" i="11"/>
  <c r="B66" i="11"/>
  <c r="D65" i="11"/>
  <c r="N64" i="11"/>
  <c r="F58" i="11" l="1"/>
  <c r="K58" i="11" s="1"/>
  <c r="O58" i="11" s="1"/>
  <c r="K57" i="11"/>
  <c r="O57" i="11" s="1"/>
  <c r="Q57" i="11" s="1"/>
  <c r="R57" i="11" s="1"/>
  <c r="P56" i="11"/>
  <c r="K59" i="12"/>
  <c r="O59" i="12" s="1"/>
  <c r="F60" i="12"/>
  <c r="H60" i="12" s="1"/>
  <c r="E61" i="12" s="1"/>
  <c r="G61" i="12" s="1"/>
  <c r="H58" i="11"/>
  <c r="E59" i="11" s="1"/>
  <c r="G59" i="11" s="1"/>
  <c r="N67" i="12"/>
  <c r="O67" i="12" s="1"/>
  <c r="B69" i="12"/>
  <c r="D68" i="12"/>
  <c r="M68" i="12"/>
  <c r="N65" i="11"/>
  <c r="O65" i="11" s="1"/>
  <c r="D66" i="11"/>
  <c r="M66" i="11"/>
  <c r="B67" i="11"/>
  <c r="P57" i="11" l="1"/>
  <c r="P58" i="11" s="1"/>
  <c r="K60" i="12"/>
  <c r="O60" i="12" s="1"/>
  <c r="F59" i="11"/>
  <c r="H59" i="11"/>
  <c r="F61" i="12"/>
  <c r="H61" i="12" s="1"/>
  <c r="E62" i="12" s="1"/>
  <c r="G62" i="12" s="1"/>
  <c r="Q58" i="11"/>
  <c r="R58" i="11" s="1"/>
  <c r="N68" i="12"/>
  <c r="O68" i="12" s="1"/>
  <c r="B70" i="12"/>
  <c r="D69" i="12"/>
  <c r="M69" i="12"/>
  <c r="M67" i="11"/>
  <c r="B68" i="11"/>
  <c r="D67" i="11"/>
  <c r="N66" i="11"/>
  <c r="O66" i="11" s="1"/>
  <c r="K59" i="11" l="1"/>
  <c r="O59" i="11" s="1"/>
  <c r="Q59" i="11" s="1"/>
  <c r="R59" i="11" s="1"/>
  <c r="E60" i="11"/>
  <c r="F62" i="12"/>
  <c r="K61" i="12"/>
  <c r="O61" i="12" s="1"/>
  <c r="N69" i="12"/>
  <c r="O69" i="12" s="1"/>
  <c r="B71" i="12"/>
  <c r="M70" i="12"/>
  <c r="D70" i="12"/>
  <c r="N67" i="11"/>
  <c r="O67" i="11" s="1"/>
  <c r="D68" i="11"/>
  <c r="B69" i="11"/>
  <c r="M68" i="11"/>
  <c r="F60" i="11" l="1"/>
  <c r="G60" i="11"/>
  <c r="P59" i="11"/>
  <c r="H60" i="11"/>
  <c r="E61" i="11" s="1"/>
  <c r="K62" i="12"/>
  <c r="O62" i="12" s="1"/>
  <c r="H62" i="12"/>
  <c r="E63" i="12" s="1"/>
  <c r="G63" i="12" s="1"/>
  <c r="N70" i="12"/>
  <c r="O70" i="12" s="1"/>
  <c r="B72" i="12"/>
  <c r="D71" i="12"/>
  <c r="M71" i="12"/>
  <c r="M69" i="11"/>
  <c r="B70" i="11"/>
  <c r="D69" i="11"/>
  <c r="N68" i="11"/>
  <c r="O68" i="11" s="1"/>
  <c r="K60" i="11" l="1"/>
  <c r="O60" i="11" s="1"/>
  <c r="P60" i="11" s="1"/>
  <c r="F61" i="11"/>
  <c r="G61" i="11"/>
  <c r="H61" i="11"/>
  <c r="E62" i="11" s="1"/>
  <c r="G62" i="11" s="1"/>
  <c r="F63" i="12"/>
  <c r="H63" i="12" s="1"/>
  <c r="E64" i="12" s="1"/>
  <c r="G64" i="12" s="1"/>
  <c r="N71" i="12"/>
  <c r="O71" i="12" s="1"/>
  <c r="B73" i="12"/>
  <c r="M72" i="12"/>
  <c r="D72" i="12"/>
  <c r="N69" i="11"/>
  <c r="O69" i="11" s="1"/>
  <c r="B71" i="11"/>
  <c r="D70" i="11"/>
  <c r="M70" i="11"/>
  <c r="K61" i="11" l="1"/>
  <c r="O61" i="11" s="1"/>
  <c r="P61" i="11" s="1"/>
  <c r="Q60" i="11"/>
  <c r="R60" i="11" s="1"/>
  <c r="F62" i="11"/>
  <c r="H62" i="11" s="1"/>
  <c r="E63" i="11" s="1"/>
  <c r="G63" i="11" s="1"/>
  <c r="F64" i="12"/>
  <c r="K63" i="12"/>
  <c r="O63" i="12" s="1"/>
  <c r="N72" i="12"/>
  <c r="O72" i="12" s="1"/>
  <c r="B74" i="12"/>
  <c r="D73" i="12"/>
  <c r="M73" i="12"/>
  <c r="N70" i="11"/>
  <c r="O70" i="11" s="1"/>
  <c r="M71" i="11"/>
  <c r="B72" i="11"/>
  <c r="D71" i="11"/>
  <c r="Q61" i="11" l="1"/>
  <c r="R61" i="11" s="1"/>
  <c r="K62" i="11"/>
  <c r="O62" i="11" s="1"/>
  <c r="F63" i="11"/>
  <c r="K63" i="11" s="1"/>
  <c r="G75" i="12"/>
  <c r="H64" i="12"/>
  <c r="N73" i="12"/>
  <c r="O73" i="12" s="1"/>
  <c r="M74" i="12"/>
  <c r="M75" i="12" s="1"/>
  <c r="D74" i="12"/>
  <c r="B75" i="12"/>
  <c r="N71" i="11"/>
  <c r="O71" i="11" s="1"/>
  <c r="B73" i="11"/>
  <c r="D72" i="11"/>
  <c r="M72" i="11"/>
  <c r="P44" i="12" l="1"/>
  <c r="P45" i="12" s="1"/>
  <c r="P46" i="12" s="1"/>
  <c r="P47" i="12" s="1"/>
  <c r="P48" i="12" s="1"/>
  <c r="P49" i="12" s="1"/>
  <c r="P50" i="12" s="1"/>
  <c r="P51" i="12" s="1"/>
  <c r="P52" i="12" s="1"/>
  <c r="P53" i="12" s="1"/>
  <c r="P54" i="12" s="1"/>
  <c r="P55" i="12" s="1"/>
  <c r="P56" i="12" s="1"/>
  <c r="P57" i="12" s="1"/>
  <c r="P58" i="12" s="1"/>
  <c r="P59" i="12" s="1"/>
  <c r="P60" i="12" s="1"/>
  <c r="P61" i="12" s="1"/>
  <c r="P62" i="12" s="1"/>
  <c r="P63" i="12" s="1"/>
  <c r="Q45" i="12"/>
  <c r="R45" i="12" s="1"/>
  <c r="Q46" i="12"/>
  <c r="R46" i="12" s="1"/>
  <c r="Q47" i="12"/>
  <c r="R47" i="12" s="1"/>
  <c r="Q48" i="12"/>
  <c r="R48" i="12" s="1"/>
  <c r="Q49" i="12"/>
  <c r="R49" i="12" s="1"/>
  <c r="Q50" i="12"/>
  <c r="R50" i="12" s="1"/>
  <c r="Q51" i="12"/>
  <c r="R51" i="12" s="1"/>
  <c r="Q52" i="12"/>
  <c r="R52" i="12" s="1"/>
  <c r="Q53" i="12"/>
  <c r="R53" i="12" s="1"/>
  <c r="Q54" i="12"/>
  <c r="R54" i="12" s="1"/>
  <c r="Q55" i="12"/>
  <c r="R55" i="12" s="1"/>
  <c r="Q56" i="12"/>
  <c r="R56" i="12" s="1"/>
  <c r="Q57" i="12"/>
  <c r="R57" i="12" s="1"/>
  <c r="Q58" i="12"/>
  <c r="R58" i="12" s="1"/>
  <c r="Q59" i="12"/>
  <c r="R59" i="12" s="1"/>
  <c r="Q60" i="12"/>
  <c r="R60" i="12" s="1"/>
  <c r="Q61" i="12"/>
  <c r="R61" i="12" s="1"/>
  <c r="Q62" i="12"/>
  <c r="R62" i="12" s="1"/>
  <c r="Q62" i="11"/>
  <c r="R62" i="11" s="1"/>
  <c r="P62" i="11"/>
  <c r="H63" i="11"/>
  <c r="E64" i="11" s="1"/>
  <c r="Q63" i="12"/>
  <c r="R63" i="12" s="1"/>
  <c r="K64" i="12"/>
  <c r="O64" i="12" s="1"/>
  <c r="O63" i="11"/>
  <c r="N74" i="12"/>
  <c r="O74" i="12" s="1"/>
  <c r="D75" i="12"/>
  <c r="N72" i="11"/>
  <c r="O72" i="11" s="1"/>
  <c r="M73" i="11"/>
  <c r="B74" i="11"/>
  <c r="D73" i="11"/>
  <c r="F64" i="11" l="1"/>
  <c r="H64" i="11" s="1"/>
  <c r="G64" i="11"/>
  <c r="G75" i="11" s="1"/>
  <c r="K75" i="12"/>
  <c r="E82" i="12" s="1"/>
  <c r="Q63" i="11"/>
  <c r="R63" i="11" s="1"/>
  <c r="P63" i="11"/>
  <c r="N73" i="11"/>
  <c r="O73" i="11" s="1"/>
  <c r="N75" i="12"/>
  <c r="D74" i="11"/>
  <c r="M74" i="11"/>
  <c r="M75" i="11" s="1"/>
  <c r="B75" i="11"/>
  <c r="Q65" i="12" l="1"/>
  <c r="R65" i="12" s="1"/>
  <c r="Q69" i="12"/>
  <c r="R69" i="12" s="1"/>
  <c r="Q68" i="12"/>
  <c r="R68" i="12" s="1"/>
  <c r="Q73" i="12"/>
  <c r="R73" i="12" s="1"/>
  <c r="Q67" i="12"/>
  <c r="R67" i="12" s="1"/>
  <c r="Q66" i="12"/>
  <c r="R66" i="12" s="1"/>
  <c r="Q70" i="12"/>
  <c r="R70" i="12" s="1"/>
  <c r="Q72" i="12"/>
  <c r="R72" i="12" s="1"/>
  <c r="Q64" i="12"/>
  <c r="R64" i="12" s="1"/>
  <c r="Q71" i="12"/>
  <c r="R71" i="12" s="1"/>
  <c r="P64" i="12"/>
  <c r="P65" i="12" s="1"/>
  <c r="P66" i="12" s="1"/>
  <c r="P67" i="12" s="1"/>
  <c r="P68" i="12" s="1"/>
  <c r="P69" i="12" s="1"/>
  <c r="P70" i="12" s="1"/>
  <c r="P71" i="12" s="1"/>
  <c r="P72" i="12" s="1"/>
  <c r="P73" i="12" s="1"/>
  <c r="P74" i="12" s="1"/>
  <c r="K64" i="11"/>
  <c r="Q74" i="12"/>
  <c r="E80" i="12"/>
  <c r="F27" i="3" s="1"/>
  <c r="N74" i="11"/>
  <c r="D75" i="11"/>
  <c r="R75" i="12" l="1"/>
  <c r="E79" i="12" s="1"/>
  <c r="E27" i="3" s="1"/>
  <c r="O64" i="11"/>
  <c r="K75" i="11"/>
  <c r="E82" i="11" s="1"/>
  <c r="E78" i="12"/>
  <c r="D27" i="3" s="1"/>
  <c r="R74" i="12"/>
  <c r="O74" i="11"/>
  <c r="N75" i="11"/>
  <c r="Q71" i="11" l="1"/>
  <c r="R71" i="11" s="1"/>
  <c r="Q64" i="11"/>
  <c r="R64" i="11" s="1"/>
  <c r="Q69" i="11"/>
  <c r="R69" i="11" s="1"/>
  <c r="Q72" i="11"/>
  <c r="R72" i="11" s="1"/>
  <c r="Q66" i="11"/>
  <c r="R66" i="11" s="1"/>
  <c r="Q70" i="11"/>
  <c r="R70" i="11" s="1"/>
  <c r="Q67" i="11"/>
  <c r="R67" i="11" s="1"/>
  <c r="Q68" i="11"/>
  <c r="R68" i="11" s="1"/>
  <c r="Q65" i="11"/>
  <c r="R65" i="11" s="1"/>
  <c r="P64" i="11"/>
  <c r="P65" i="11" s="1"/>
  <c r="P66" i="11" s="1"/>
  <c r="P67" i="11" s="1"/>
  <c r="P68" i="11" s="1"/>
  <c r="P69" i="11" s="1"/>
  <c r="P70" i="11" s="1"/>
  <c r="P71" i="11" s="1"/>
  <c r="P72" i="11" s="1"/>
  <c r="P73" i="11" s="1"/>
  <c r="P74" i="11" s="1"/>
  <c r="Q73" i="11"/>
  <c r="R73" i="11" s="1"/>
  <c r="Q74" i="11"/>
  <c r="E80" i="11"/>
  <c r="F26" i="3" s="1"/>
  <c r="R75" i="11" l="1"/>
  <c r="E79" i="11" s="1"/>
  <c r="E26" i="3" s="1"/>
  <c r="E78" i="11"/>
  <c r="D26" i="3" s="1"/>
  <c r="R74" i="11"/>
  <c r="J58" i="9" l="1"/>
  <c r="J57" i="9"/>
  <c r="J56" i="9"/>
  <c r="J55" i="9"/>
  <c r="J54" i="9"/>
  <c r="J53" i="9"/>
  <c r="J52" i="9"/>
  <c r="J51" i="9"/>
  <c r="J50" i="9"/>
  <c r="J49" i="9"/>
  <c r="J48" i="9"/>
  <c r="J47" i="9"/>
  <c r="J46" i="9"/>
  <c r="J45" i="9"/>
  <c r="J44" i="9"/>
  <c r="J43" i="9"/>
  <c r="J42" i="9"/>
  <c r="J41" i="9"/>
  <c r="J40" i="9"/>
  <c r="J39" i="9"/>
  <c r="Q38" i="9"/>
  <c r="P38" i="9"/>
  <c r="O38" i="9"/>
  <c r="B38" i="9"/>
  <c r="J59" i="9" l="1"/>
  <c r="D38" i="9"/>
  <c r="U38" i="9" s="1"/>
  <c r="C97" i="9"/>
  <c r="C93" i="9"/>
  <c r="C101" i="9"/>
  <c r="C96" i="9"/>
  <c r="C98" i="9"/>
  <c r="C103" i="9"/>
  <c r="C99" i="9"/>
  <c r="C100" i="9"/>
  <c r="C95" i="9"/>
  <c r="C94" i="9"/>
  <c r="C102" i="9"/>
  <c r="C104" i="9"/>
  <c r="P39" i="9"/>
  <c r="B39" i="9"/>
  <c r="Q39" i="9"/>
  <c r="Q40" i="9" s="1"/>
  <c r="Q41" i="9" s="1"/>
  <c r="Q42" i="9" s="1"/>
  <c r="Q43" i="9" s="1"/>
  <c r="Q44" i="9" s="1"/>
  <c r="Q45" i="9" s="1"/>
  <c r="Q46" i="9" s="1"/>
  <c r="Q47" i="9" s="1"/>
  <c r="Q48" i="9" s="1"/>
  <c r="Q49" i="9" s="1"/>
  <c r="Q50" i="9" s="1"/>
  <c r="Q51" i="9" s="1"/>
  <c r="Q52" i="9" s="1"/>
  <c r="Q53" i="9" s="1"/>
  <c r="Q54" i="9" s="1"/>
  <c r="Q55" i="9" s="1"/>
  <c r="Q56" i="9" s="1"/>
  <c r="Q57" i="9" s="1"/>
  <c r="Q58" i="9" s="1"/>
  <c r="P40" i="9" l="1"/>
  <c r="D39" i="9"/>
  <c r="U39" i="9" s="1"/>
  <c r="B40" i="9"/>
  <c r="Q59" i="9"/>
  <c r="P41" i="9" l="1"/>
  <c r="B41" i="9"/>
  <c r="D40" i="9"/>
  <c r="U40" i="9" l="1"/>
  <c r="B42" i="9"/>
  <c r="D41" i="9"/>
  <c r="P42" i="9"/>
  <c r="P43" i="9" l="1"/>
  <c r="B43" i="9"/>
  <c r="D42" i="9"/>
  <c r="U41" i="9"/>
  <c r="U42" i="9" l="1"/>
  <c r="D43" i="9"/>
  <c r="B44" i="9"/>
  <c r="P44" i="9"/>
  <c r="U43" i="9" l="1"/>
  <c r="P45" i="9"/>
  <c r="B45" i="9"/>
  <c r="D44" i="9"/>
  <c r="U44" i="9" l="1"/>
  <c r="B46" i="9"/>
  <c r="D45" i="9"/>
  <c r="P46" i="9"/>
  <c r="U45" i="9" l="1"/>
  <c r="B47" i="9"/>
  <c r="D46" i="9"/>
  <c r="U46" i="9" s="1"/>
  <c r="P47" i="9"/>
  <c r="P48" i="9" l="1"/>
  <c r="D47" i="9"/>
  <c r="U47" i="9" s="1"/>
  <c r="B48" i="9"/>
  <c r="B49" i="9" l="1"/>
  <c r="D48" i="9"/>
  <c r="U48" i="9" s="1"/>
  <c r="P49" i="9"/>
  <c r="P50" i="9" l="1"/>
  <c r="B50" i="9"/>
  <c r="D49" i="9"/>
  <c r="U49" i="9" s="1"/>
  <c r="P51" i="9" l="1"/>
  <c r="B51" i="9"/>
  <c r="D50" i="9"/>
  <c r="U50" i="9" s="1"/>
  <c r="P52" i="9" l="1"/>
  <c r="D51" i="9"/>
  <c r="U51" i="9" s="1"/>
  <c r="B52" i="9"/>
  <c r="B53" i="9" l="1"/>
  <c r="D52" i="9"/>
  <c r="U52" i="9" s="1"/>
  <c r="P53" i="9"/>
  <c r="B54" i="9" l="1"/>
  <c r="D53" i="9"/>
  <c r="U53" i="9" s="1"/>
  <c r="P54" i="9"/>
  <c r="P55" i="9" l="1"/>
  <c r="B55" i="9"/>
  <c r="D54" i="9"/>
  <c r="U54" i="9" s="1"/>
  <c r="P56" i="9" l="1"/>
  <c r="D55" i="9"/>
  <c r="U55" i="9" s="1"/>
  <c r="B56" i="9"/>
  <c r="P57" i="9" l="1"/>
  <c r="B57" i="9"/>
  <c r="D56" i="9"/>
  <c r="U56" i="9" s="1"/>
  <c r="P58" i="9" l="1"/>
  <c r="B58" i="9"/>
  <c r="D58" i="9" s="1"/>
  <c r="D57" i="9"/>
  <c r="U57" i="9" s="1"/>
  <c r="U58" i="9" l="1"/>
  <c r="D59" i="9"/>
  <c r="P59" i="9"/>
  <c r="K38" i="9" l="1"/>
  <c r="L38" i="9" s="1"/>
  <c r="M38" i="9" s="1"/>
  <c r="K38" i="8"/>
  <c r="V38" i="8" s="1"/>
  <c r="V38" i="9" l="1"/>
  <c r="L38" i="8"/>
  <c r="M38" i="8" s="1"/>
  <c r="P38" i="8" l="1"/>
  <c r="B38" i="8"/>
  <c r="B39" i="8" l="1"/>
  <c r="D38" i="8"/>
  <c r="P39" i="8"/>
  <c r="B22" i="3"/>
  <c r="P40" i="8" l="1"/>
  <c r="U38" i="8"/>
  <c r="D39" i="8"/>
  <c r="B40" i="8"/>
  <c r="E106" i="9"/>
  <c r="E104" i="9"/>
  <c r="E103" i="9"/>
  <c r="E102" i="9"/>
  <c r="E101" i="9"/>
  <c r="E100" i="9"/>
  <c r="E99" i="9"/>
  <c r="E98" i="9"/>
  <c r="E97" i="9"/>
  <c r="E96" i="9"/>
  <c r="E95" i="9"/>
  <c r="E94" i="9"/>
  <c r="E93" i="9"/>
  <c r="U39" i="8" l="1"/>
  <c r="B41" i="8"/>
  <c r="D40" i="8"/>
  <c r="P41" i="8"/>
  <c r="D106" i="9"/>
  <c r="D101" i="9" s="1"/>
  <c r="G100" i="9"/>
  <c r="M100" i="9" s="1"/>
  <c r="G96" i="9"/>
  <c r="M96" i="9" s="1"/>
  <c r="G103" i="9"/>
  <c r="M103" i="9" s="1"/>
  <c r="G99" i="9"/>
  <c r="M99" i="9" s="1"/>
  <c r="G95" i="9"/>
  <c r="M95" i="9" s="1"/>
  <c r="G102" i="9"/>
  <c r="M102" i="9" s="1"/>
  <c r="G98" i="9"/>
  <c r="M98" i="9" s="1"/>
  <c r="G94" i="9"/>
  <c r="M94" i="9" s="1"/>
  <c r="G101" i="9"/>
  <c r="M101" i="9" s="1"/>
  <c r="G97" i="9"/>
  <c r="M97" i="9" s="1"/>
  <c r="G93" i="9"/>
  <c r="G104" i="9"/>
  <c r="M104" i="9" s="1"/>
  <c r="E98" i="8"/>
  <c r="E99" i="8"/>
  <c r="E100" i="8"/>
  <c r="E101" i="8"/>
  <c r="E102" i="8"/>
  <c r="E103" i="8"/>
  <c r="E104" i="8"/>
  <c r="E105" i="8"/>
  <c r="E106" i="8"/>
  <c r="E107" i="8"/>
  <c r="E108" i="8"/>
  <c r="E109" i="8"/>
  <c r="E111" i="8"/>
  <c r="D111" i="8"/>
  <c r="D104" i="9" l="1"/>
  <c r="D96" i="9"/>
  <c r="P42" i="8"/>
  <c r="B42" i="8"/>
  <c r="D41" i="8"/>
  <c r="U40" i="8"/>
  <c r="D99" i="9"/>
  <c r="D94" i="9"/>
  <c r="D95" i="9"/>
  <c r="D97" i="9"/>
  <c r="D93" i="9"/>
  <c r="D100" i="9"/>
  <c r="D102" i="9"/>
  <c r="D103" i="9"/>
  <c r="D98" i="9"/>
  <c r="H97" i="9"/>
  <c r="K97" i="9" s="1"/>
  <c r="H103" i="9"/>
  <c r="K103" i="9" s="1"/>
  <c r="H101" i="9"/>
  <c r="K101" i="9" s="1"/>
  <c r="H96" i="9"/>
  <c r="K96" i="9" s="1"/>
  <c r="H100" i="9"/>
  <c r="K100" i="9" s="1"/>
  <c r="H102" i="9"/>
  <c r="K102" i="9" s="1"/>
  <c r="H94" i="9"/>
  <c r="K94" i="9" s="1"/>
  <c r="H98" i="9"/>
  <c r="K98" i="9" s="1"/>
  <c r="H104" i="9"/>
  <c r="K104" i="9" s="1"/>
  <c r="H95" i="9"/>
  <c r="K95" i="9" s="1"/>
  <c r="C105" i="9"/>
  <c r="D67" i="9" s="1"/>
  <c r="G105" i="9"/>
  <c r="M93" i="9"/>
  <c r="H93" i="9"/>
  <c r="I93" i="9" s="1"/>
  <c r="H99" i="9"/>
  <c r="K99" i="9" s="1"/>
  <c r="D98" i="8"/>
  <c r="D109" i="8"/>
  <c r="D106" i="8"/>
  <c r="D102" i="8"/>
  <c r="D105" i="8"/>
  <c r="D101" i="8"/>
  <c r="G101" i="8"/>
  <c r="M101" i="8" s="1"/>
  <c r="D108" i="8"/>
  <c r="D104" i="8"/>
  <c r="D100" i="8"/>
  <c r="D107" i="8"/>
  <c r="D103" i="8"/>
  <c r="D99" i="8"/>
  <c r="B43" i="8" l="1"/>
  <c r="D42" i="8"/>
  <c r="U41" i="8"/>
  <c r="P43" i="8"/>
  <c r="D87" i="9"/>
  <c r="I104" i="9"/>
  <c r="J104" i="9" s="1"/>
  <c r="I102" i="9"/>
  <c r="J102" i="9" s="1"/>
  <c r="I94" i="9"/>
  <c r="J94" i="9" s="1"/>
  <c r="I96" i="9"/>
  <c r="I97" i="9"/>
  <c r="L97" i="9" s="1"/>
  <c r="I98" i="9"/>
  <c r="I99" i="9"/>
  <c r="I95" i="9"/>
  <c r="J93" i="9"/>
  <c r="L93" i="9"/>
  <c r="I100" i="9"/>
  <c r="I101" i="9"/>
  <c r="M105" i="9"/>
  <c r="D64" i="9"/>
  <c r="I103" i="9"/>
  <c r="K93" i="9"/>
  <c r="K105" i="9" s="1"/>
  <c r="H105" i="9"/>
  <c r="D66" i="9" s="1"/>
  <c r="G106" i="8"/>
  <c r="M106" i="8" s="1"/>
  <c r="G100" i="8"/>
  <c r="G98" i="8"/>
  <c r="M98" i="8" s="1"/>
  <c r="G99" i="8"/>
  <c r="M99" i="8" s="1"/>
  <c r="G105" i="8"/>
  <c r="G107" i="8"/>
  <c r="M107" i="8" s="1"/>
  <c r="G103" i="8"/>
  <c r="M103" i="8" s="1"/>
  <c r="G108" i="8"/>
  <c r="M108" i="8" s="1"/>
  <c r="G102" i="8"/>
  <c r="M102" i="8" s="1"/>
  <c r="G109" i="8"/>
  <c r="M109" i="8" s="1"/>
  <c r="G104" i="8"/>
  <c r="M104" i="8" s="1"/>
  <c r="C110" i="8"/>
  <c r="H101" i="8"/>
  <c r="D88" i="9" l="1"/>
  <c r="H18" i="3" s="1"/>
  <c r="D71" i="9"/>
  <c r="U42" i="8"/>
  <c r="P44" i="8"/>
  <c r="D43" i="8"/>
  <c r="B44" i="8"/>
  <c r="H105" i="8"/>
  <c r="I105" i="8" s="1"/>
  <c r="M105" i="8"/>
  <c r="H100" i="8"/>
  <c r="K100" i="8" s="1"/>
  <c r="M100" i="8"/>
  <c r="L104" i="9"/>
  <c r="L102" i="9"/>
  <c r="J96" i="9"/>
  <c r="L96" i="9"/>
  <c r="J95" i="9"/>
  <c r="L95" i="9"/>
  <c r="J97" i="9"/>
  <c r="J98" i="9"/>
  <c r="L98" i="9"/>
  <c r="J99" i="9"/>
  <c r="L99" i="9"/>
  <c r="L94" i="9"/>
  <c r="D74" i="9"/>
  <c r="J101" i="9"/>
  <c r="L101" i="9"/>
  <c r="J100" i="9"/>
  <c r="L100" i="9"/>
  <c r="J103" i="9"/>
  <c r="L103" i="9"/>
  <c r="I105" i="9"/>
  <c r="R38" i="9" s="1"/>
  <c r="H106" i="8"/>
  <c r="K106" i="8" s="1"/>
  <c r="H103" i="8"/>
  <c r="K103" i="8" s="1"/>
  <c r="H104" i="8"/>
  <c r="K104" i="8" s="1"/>
  <c r="H107" i="8"/>
  <c r="K107" i="8" s="1"/>
  <c r="H98" i="8"/>
  <c r="I98" i="8" s="1"/>
  <c r="H99" i="8"/>
  <c r="K99" i="8" s="1"/>
  <c r="D72" i="8"/>
  <c r="H109" i="8"/>
  <c r="K109" i="8" s="1"/>
  <c r="H102" i="8"/>
  <c r="K102" i="8" s="1"/>
  <c r="G110" i="8"/>
  <c r="M110" i="8" s="1"/>
  <c r="D76" i="8" s="1"/>
  <c r="H108" i="8"/>
  <c r="I101" i="8"/>
  <c r="K101" i="8"/>
  <c r="U43" i="8" l="1"/>
  <c r="B45" i="8"/>
  <c r="D44" i="8"/>
  <c r="U44" i="8" s="1"/>
  <c r="P45" i="8"/>
  <c r="R39" i="9"/>
  <c r="K105" i="8"/>
  <c r="I100" i="8"/>
  <c r="J100" i="8" s="1"/>
  <c r="D92" i="8"/>
  <c r="D93" i="8"/>
  <c r="H22" i="3" s="1"/>
  <c r="L105" i="9"/>
  <c r="D72" i="9" s="1"/>
  <c r="J105" i="9"/>
  <c r="D69" i="9"/>
  <c r="I18" i="3" s="1"/>
  <c r="I103" i="8"/>
  <c r="L103" i="8" s="1"/>
  <c r="I106" i="8"/>
  <c r="J106" i="8" s="1"/>
  <c r="I104" i="8"/>
  <c r="J104" i="8" s="1"/>
  <c r="I107" i="8"/>
  <c r="L107" i="8" s="1"/>
  <c r="I99" i="8"/>
  <c r="L99" i="8" s="1"/>
  <c r="K98" i="8"/>
  <c r="D69" i="8"/>
  <c r="I102" i="8"/>
  <c r="L102" i="8" s="1"/>
  <c r="H110" i="8"/>
  <c r="I109" i="8"/>
  <c r="I108" i="8"/>
  <c r="K108" i="8"/>
  <c r="J105" i="8"/>
  <c r="L105" i="8"/>
  <c r="L98" i="8"/>
  <c r="J98" i="8"/>
  <c r="J101" i="8"/>
  <c r="L101" i="8"/>
  <c r="P46" i="8" l="1"/>
  <c r="D45" i="8"/>
  <c r="U45" i="8" s="1"/>
  <c r="B46" i="8"/>
  <c r="D73" i="9"/>
  <c r="V39" i="9"/>
  <c r="V40" i="9" s="1"/>
  <c r="V41" i="9" s="1"/>
  <c r="V42" i="9" s="1"/>
  <c r="V43" i="9" s="1"/>
  <c r="V44" i="9" s="1"/>
  <c r="V45" i="9" s="1"/>
  <c r="V46" i="9" s="1"/>
  <c r="V47" i="9" s="1"/>
  <c r="V48" i="9" s="1"/>
  <c r="V49" i="9" s="1"/>
  <c r="V50" i="9" s="1"/>
  <c r="V51" i="9" s="1"/>
  <c r="V52" i="9" s="1"/>
  <c r="V53" i="9" s="1"/>
  <c r="V54" i="9" s="1"/>
  <c r="V55" i="9" s="1"/>
  <c r="V56" i="9" s="1"/>
  <c r="V57" i="9" s="1"/>
  <c r="V58" i="9" s="1"/>
  <c r="D79" i="9"/>
  <c r="G18" i="3"/>
  <c r="R40" i="9"/>
  <c r="S39" i="9"/>
  <c r="L100" i="8"/>
  <c r="L104" i="8"/>
  <c r="J103" i="8"/>
  <c r="L106" i="8"/>
  <c r="J99" i="8"/>
  <c r="J107" i="8"/>
  <c r="K110" i="8"/>
  <c r="I110" i="8"/>
  <c r="R38" i="8" s="1"/>
  <c r="D79" i="8"/>
  <c r="D71" i="8"/>
  <c r="J102" i="8"/>
  <c r="L109" i="8"/>
  <c r="J109" i="8"/>
  <c r="J108" i="8"/>
  <c r="L108" i="8"/>
  <c r="R39" i="8" l="1"/>
  <c r="P47" i="8"/>
  <c r="D46" i="8"/>
  <c r="U46" i="8" s="1"/>
  <c r="B47" i="8"/>
  <c r="R41" i="9"/>
  <c r="S40" i="9"/>
  <c r="D74" i="8"/>
  <c r="I22" i="3" s="1"/>
  <c r="J110" i="8"/>
  <c r="L110" i="8"/>
  <c r="D77" i="8" s="1"/>
  <c r="V39" i="8" l="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D84" i="8"/>
  <c r="G22" i="3"/>
  <c r="R40" i="8"/>
  <c r="S39" i="8"/>
  <c r="P48" i="8"/>
  <c r="B48" i="8"/>
  <c r="D47" i="8"/>
  <c r="U47" i="8" s="1"/>
  <c r="R42" i="9"/>
  <c r="S41" i="9"/>
  <c r="D78" i="8"/>
  <c r="R41" i="8" l="1"/>
  <c r="S40" i="8"/>
  <c r="B49" i="8"/>
  <c r="D48" i="8"/>
  <c r="U48" i="8" s="1"/>
  <c r="P49" i="8"/>
  <c r="R43" i="9"/>
  <c r="S42" i="9"/>
  <c r="R42" i="8" l="1"/>
  <c r="S41" i="8"/>
  <c r="P50" i="8"/>
  <c r="B50" i="8"/>
  <c r="D49" i="8"/>
  <c r="U49" i="8" s="1"/>
  <c r="R44" i="9"/>
  <c r="S43" i="9"/>
  <c r="R43" i="8" l="1"/>
  <c r="S42" i="8"/>
  <c r="D50" i="8"/>
  <c r="U50" i="8" s="1"/>
  <c r="B51" i="8"/>
  <c r="P51" i="8"/>
  <c r="R45" i="9"/>
  <c r="S44" i="9"/>
  <c r="R44" i="8" l="1"/>
  <c r="S43" i="8"/>
  <c r="P52" i="8"/>
  <c r="B52" i="8"/>
  <c r="D51" i="8"/>
  <c r="U51" i="8" s="1"/>
  <c r="R46" i="9"/>
  <c r="S45" i="9"/>
  <c r="R45" i="8" l="1"/>
  <c r="S44" i="8"/>
  <c r="B53" i="8"/>
  <c r="D52" i="8"/>
  <c r="U52" i="8" s="1"/>
  <c r="P53" i="8"/>
  <c r="R47" i="9"/>
  <c r="S46" i="9"/>
  <c r="R46" i="8" l="1"/>
  <c r="S45" i="8"/>
  <c r="P54" i="8"/>
  <c r="B54" i="8"/>
  <c r="D53" i="8"/>
  <c r="U53" i="8" s="1"/>
  <c r="R48" i="9"/>
  <c r="S47" i="9"/>
  <c r="R47" i="8" l="1"/>
  <c r="S46" i="8"/>
  <c r="D54" i="8"/>
  <c r="U54" i="8" s="1"/>
  <c r="B55" i="8"/>
  <c r="P55" i="8"/>
  <c r="R49" i="9"/>
  <c r="S48" i="9"/>
  <c r="R48" i="8" l="1"/>
  <c r="S47" i="8"/>
  <c r="P56" i="8"/>
  <c r="D55" i="8"/>
  <c r="U55" i="8" s="1"/>
  <c r="B56" i="8"/>
  <c r="R50" i="9"/>
  <c r="S49" i="9"/>
  <c r="R49" i="8" l="1"/>
  <c r="S48" i="8"/>
  <c r="D56" i="8"/>
  <c r="U56" i="8" s="1"/>
  <c r="B57" i="8"/>
  <c r="P57" i="8"/>
  <c r="R51" i="9"/>
  <c r="S50" i="9"/>
  <c r="R50" i="8" l="1"/>
  <c r="S49" i="8"/>
  <c r="P58" i="8"/>
  <c r="D57" i="8"/>
  <c r="U57" i="8" s="1"/>
  <c r="B58" i="8"/>
  <c r="R52" i="9"/>
  <c r="S51" i="9"/>
  <c r="R51" i="8" l="1"/>
  <c r="S50" i="8"/>
  <c r="D58" i="8"/>
  <c r="U58" i="8" s="1"/>
  <c r="B59" i="8"/>
  <c r="P59" i="8"/>
  <c r="R53" i="9"/>
  <c r="S52" i="9"/>
  <c r="R52" i="8" l="1"/>
  <c r="S51" i="8"/>
  <c r="P60" i="8"/>
  <c r="D59" i="8"/>
  <c r="U59" i="8" s="1"/>
  <c r="B60" i="8"/>
  <c r="R54" i="9"/>
  <c r="S53" i="9"/>
  <c r="R53" i="8" l="1"/>
  <c r="S52" i="8"/>
  <c r="D60" i="8"/>
  <c r="U60" i="8" s="1"/>
  <c r="B61" i="8"/>
  <c r="P61" i="8"/>
  <c r="R55" i="9"/>
  <c r="S54" i="9"/>
  <c r="R54" i="8" l="1"/>
  <c r="S53" i="8"/>
  <c r="P62" i="8"/>
  <c r="D61" i="8"/>
  <c r="U61" i="8" s="1"/>
  <c r="B62" i="8"/>
  <c r="R56" i="9"/>
  <c r="S55" i="9"/>
  <c r="R55" i="8" l="1"/>
  <c r="S54" i="8"/>
  <c r="D62" i="8"/>
  <c r="U62" i="8" s="1"/>
  <c r="B63" i="8"/>
  <c r="D63" i="8" s="1"/>
  <c r="D64" i="8" s="1"/>
  <c r="P63" i="8"/>
  <c r="R57" i="9"/>
  <c r="S56" i="9"/>
  <c r="R56" i="8" l="1"/>
  <c r="S55" i="8"/>
  <c r="P64" i="8"/>
  <c r="U63" i="8"/>
  <c r="R58" i="9"/>
  <c r="S57" i="9"/>
  <c r="R57" i="8" l="1"/>
  <c r="S56" i="8"/>
  <c r="S58" i="9"/>
  <c r="R59" i="9"/>
  <c r="R58" i="8" l="1"/>
  <c r="S57" i="8"/>
  <c r="S59" i="9"/>
  <c r="R59" i="8" l="1"/>
  <c r="S58" i="8"/>
  <c r="R60" i="8" l="1"/>
  <c r="S59" i="8"/>
  <c r="L59" i="8" l="1"/>
  <c r="R61" i="8"/>
  <c r="S60" i="8"/>
  <c r="L60" i="8" s="1"/>
  <c r="R62" i="8" l="1"/>
  <c r="S61" i="8"/>
  <c r="L61" i="8" l="1"/>
  <c r="R63" i="8"/>
  <c r="S62" i="8"/>
  <c r="L62" i="8" s="1"/>
  <c r="R64" i="8" l="1"/>
  <c r="S63" i="8"/>
  <c r="L63" i="8" l="1"/>
  <c r="S64" i="8"/>
  <c r="K39" i="8"/>
  <c r="E40" i="8"/>
  <c r="G40" i="8" s="1"/>
  <c r="F40" i="8" l="1"/>
  <c r="H40" i="8" s="1"/>
  <c r="E41" i="8" s="1"/>
  <c r="G41" i="8" s="1"/>
  <c r="L39" i="8"/>
  <c r="F41" i="8" l="1"/>
  <c r="K40" i="8"/>
  <c r="M39" i="8"/>
  <c r="N39" i="8"/>
  <c r="O39" i="8" s="1"/>
  <c r="H41" i="8" l="1"/>
  <c r="E42" i="8" s="1"/>
  <c r="K41" i="8"/>
  <c r="L41" i="8" s="1"/>
  <c r="L40" i="8"/>
  <c r="F42" i="8" l="1"/>
  <c r="H42" i="8" s="1"/>
  <c r="E43" i="8" s="1"/>
  <c r="G43" i="8" s="1"/>
  <c r="G42" i="8"/>
  <c r="N41" i="8"/>
  <c r="O41" i="8" s="1"/>
  <c r="N40" i="8"/>
  <c r="O40" i="8" s="1"/>
  <c r="M40" i="8"/>
  <c r="M41" i="8" s="1"/>
  <c r="K42" i="8" l="1"/>
  <c r="L42" i="8" s="1"/>
  <c r="M42" i="8" s="1"/>
  <c r="F43" i="8"/>
  <c r="H43" i="8" s="1"/>
  <c r="E44" i="8" s="1"/>
  <c r="G44" i="8" l="1"/>
  <c r="K43" i="8"/>
  <c r="L43" i="8" s="1"/>
  <c r="M43" i="8" s="1"/>
  <c r="F44" i="8"/>
  <c r="H44" i="8" s="1"/>
  <c r="E45" i="8" s="1"/>
  <c r="F45" i="8" s="1"/>
  <c r="N42" i="8"/>
  <c r="O42" i="8" s="1"/>
  <c r="H45" i="8" l="1"/>
  <c r="E46" i="8" s="1"/>
  <c r="F46" i="8" s="1"/>
  <c r="G45" i="8"/>
  <c r="K45" i="8" s="1"/>
  <c r="N43" i="8"/>
  <c r="O43" i="8" s="1"/>
  <c r="K44" i="8"/>
  <c r="L44" i="8" s="1"/>
  <c r="N44" i="8" s="1"/>
  <c r="O44" i="8" s="1"/>
  <c r="H46" i="8" l="1"/>
  <c r="E47" i="8" s="1"/>
  <c r="F47" i="8" s="1"/>
  <c r="G46" i="8"/>
  <c r="K46" i="8" s="1"/>
  <c r="L46" i="8" s="1"/>
  <c r="M44" i="8"/>
  <c r="L45" i="8"/>
  <c r="H47" i="8" l="1"/>
  <c r="E48" i="8" s="1"/>
  <c r="F48" i="8" s="1"/>
  <c r="G47" i="8"/>
  <c r="K47" i="8" s="1"/>
  <c r="L47" i="8" s="1"/>
  <c r="N47" i="8" s="1"/>
  <c r="O47" i="8" s="1"/>
  <c r="N46" i="8"/>
  <c r="O46" i="8" s="1"/>
  <c r="N45" i="8"/>
  <c r="O45" i="8" s="1"/>
  <c r="M45" i="8"/>
  <c r="M46" i="8" s="1"/>
  <c r="H48" i="8" l="1"/>
  <c r="E49" i="8" s="1"/>
  <c r="F49" i="8" s="1"/>
  <c r="G48" i="8"/>
  <c r="K48" i="8" s="1"/>
  <c r="L48" i="8" s="1"/>
  <c r="M47" i="8"/>
  <c r="H49" i="8" l="1"/>
  <c r="E50" i="8" s="1"/>
  <c r="F50" i="8" s="1"/>
  <c r="G49" i="8"/>
  <c r="K49" i="8" s="1"/>
  <c r="L49" i="8" s="1"/>
  <c r="M48" i="8"/>
  <c r="N48" i="8"/>
  <c r="O48" i="8" s="1"/>
  <c r="H50" i="8" l="1"/>
  <c r="E51" i="8" s="1"/>
  <c r="F51" i="8" s="1"/>
  <c r="G50" i="8"/>
  <c r="K50" i="8" s="1"/>
  <c r="L50" i="8" s="1"/>
  <c r="M49" i="8"/>
  <c r="N49" i="8"/>
  <c r="O49" i="8" s="1"/>
  <c r="H51" i="8" l="1"/>
  <c r="E52" i="8" s="1"/>
  <c r="F52" i="8" s="1"/>
  <c r="G51" i="8"/>
  <c r="K51" i="8" s="1"/>
  <c r="L51" i="8" s="1"/>
  <c r="N51" i="8" s="1"/>
  <c r="O51" i="8" s="1"/>
  <c r="M50" i="8"/>
  <c r="N50" i="8"/>
  <c r="O50" i="8" s="1"/>
  <c r="H52" i="8" l="1"/>
  <c r="E53" i="8" s="1"/>
  <c r="F53" i="8" s="1"/>
  <c r="G52" i="8"/>
  <c r="K52" i="8" s="1"/>
  <c r="L52" i="8" s="1"/>
  <c r="N52" i="8" s="1"/>
  <c r="O52" i="8" s="1"/>
  <c r="M51" i="8"/>
  <c r="H53" i="8" l="1"/>
  <c r="E54" i="8" s="1"/>
  <c r="F54" i="8" s="1"/>
  <c r="G53" i="8"/>
  <c r="K53" i="8" s="1"/>
  <c r="L53" i="8" s="1"/>
  <c r="N53" i="8" s="1"/>
  <c r="O53" i="8" s="1"/>
  <c r="M52" i="8"/>
  <c r="H54" i="8" l="1"/>
  <c r="E55" i="8" s="1"/>
  <c r="F55" i="8" s="1"/>
  <c r="G54" i="8"/>
  <c r="K54" i="8" s="1"/>
  <c r="L54" i="8" s="1"/>
  <c r="N54" i="8" s="1"/>
  <c r="O54" i="8" s="1"/>
  <c r="M53" i="8"/>
  <c r="H55" i="8" l="1"/>
  <c r="E56" i="8" s="1"/>
  <c r="F56" i="8" s="1"/>
  <c r="G55" i="8"/>
  <c r="K55" i="8" s="1"/>
  <c r="L55" i="8" s="1"/>
  <c r="N55" i="8" s="1"/>
  <c r="O55" i="8" s="1"/>
  <c r="M54" i="8"/>
  <c r="H56" i="8" l="1"/>
  <c r="E57" i="8" s="1"/>
  <c r="F57" i="8" s="1"/>
  <c r="G56" i="8"/>
  <c r="K56" i="8" s="1"/>
  <c r="L56" i="8" s="1"/>
  <c r="N56" i="8" s="1"/>
  <c r="O56" i="8" s="1"/>
  <c r="M55" i="8"/>
  <c r="H57" i="8" l="1"/>
  <c r="E58" i="8" s="1"/>
  <c r="F58" i="8" s="1"/>
  <c r="G57" i="8"/>
  <c r="K57" i="8" s="1"/>
  <c r="M56" i="8"/>
  <c r="H58" i="8" l="1"/>
  <c r="G58" i="8"/>
  <c r="G64" i="8" s="1"/>
  <c r="L57" i="8"/>
  <c r="M57" i="8" s="1"/>
  <c r="K58" i="8" l="1"/>
  <c r="L58" i="8" s="1"/>
  <c r="M58" i="8" s="1"/>
  <c r="M59" i="8" s="1"/>
  <c r="M60" i="8" s="1"/>
  <c r="M61" i="8" s="1"/>
  <c r="M62" i="8" s="1"/>
  <c r="M63" i="8" s="1"/>
  <c r="N57" i="8"/>
  <c r="O57" i="8" s="1"/>
  <c r="N58" i="8" l="1"/>
  <c r="O58" i="8" s="1"/>
  <c r="N63" i="8"/>
  <c r="D82" i="8" s="1"/>
  <c r="D22" i="3" s="1"/>
  <c r="N61" i="8"/>
  <c r="O61" i="8" s="1"/>
  <c r="N62" i="8"/>
  <c r="O62" i="8" s="1"/>
  <c r="N59" i="8"/>
  <c r="O59" i="8" s="1"/>
  <c r="N60" i="8"/>
  <c r="O60" i="8" s="1"/>
  <c r="D85" i="8"/>
  <c r="F22" i="3" s="1"/>
  <c r="K64" i="8"/>
  <c r="D86" i="8" s="1"/>
  <c r="O63" i="8" l="1"/>
  <c r="O64" i="8" s="1"/>
  <c r="D83" i="8" s="1"/>
  <c r="E22" i="3" s="1"/>
  <c r="E40" i="9"/>
  <c r="G40" i="9" s="1"/>
  <c r="F40" i="9" l="1"/>
  <c r="H40" i="9" s="1"/>
  <c r="K39" i="9"/>
  <c r="K40" i="9" l="1"/>
  <c r="L40" i="9" s="1"/>
  <c r="E41" i="9"/>
  <c r="L39" i="9"/>
  <c r="F41" i="9" l="1"/>
  <c r="G41" i="9"/>
  <c r="N40" i="9"/>
  <c r="O40" i="9" s="1"/>
  <c r="M39" i="9"/>
  <c r="M40" i="9" s="1"/>
  <c r="N39" i="9"/>
  <c r="O39" i="9" s="1"/>
  <c r="K41" i="9" l="1"/>
  <c r="L41" i="9" s="1"/>
  <c r="N41" i="9" s="1"/>
  <c r="O41" i="9" s="1"/>
  <c r="H41" i="9"/>
  <c r="E42" i="9" s="1"/>
  <c r="G42" i="9" s="1"/>
  <c r="M41" i="9" l="1"/>
  <c r="F42" i="9"/>
  <c r="H42" i="9" s="1"/>
  <c r="E43" i="9" s="1"/>
  <c r="G43" i="9" s="1"/>
  <c r="K42" i="9" l="1"/>
  <c r="L42" i="9" s="1"/>
  <c r="M42" i="9" s="1"/>
  <c r="F43" i="9"/>
  <c r="H43" i="9" s="1"/>
  <c r="N42" i="9" l="1"/>
  <c r="O42" i="9" s="1"/>
  <c r="K43" i="9"/>
  <c r="L43" i="9" s="1"/>
  <c r="E44" i="9"/>
  <c r="G44" i="9" s="1"/>
  <c r="N43" i="9" l="1"/>
  <c r="O43" i="9" s="1"/>
  <c r="M43" i="9"/>
  <c r="F44" i="9"/>
  <c r="H44" i="9" s="1"/>
  <c r="E45" i="9" s="1"/>
  <c r="G45" i="9" s="1"/>
  <c r="K44" i="9" l="1"/>
  <c r="L44" i="9" s="1"/>
  <c r="F45" i="9"/>
  <c r="H45" i="9" s="1"/>
  <c r="E46" i="9" s="1"/>
  <c r="G46" i="9" s="1"/>
  <c r="K45" i="9" l="1"/>
  <c r="L45" i="9" s="1"/>
  <c r="N44" i="9"/>
  <c r="O44" i="9" s="1"/>
  <c r="M44" i="9"/>
  <c r="F46" i="9"/>
  <c r="H46" i="9" s="1"/>
  <c r="E47" i="9" s="1"/>
  <c r="G47" i="9" s="1"/>
  <c r="M45" i="9" l="1"/>
  <c r="K46" i="9"/>
  <c r="L46" i="9" s="1"/>
  <c r="N46" i="9" s="1"/>
  <c r="O46" i="9" s="1"/>
  <c r="N45" i="9"/>
  <c r="O45" i="9" s="1"/>
  <c r="F47" i="9"/>
  <c r="H47" i="9" l="1"/>
  <c r="E48" i="9" s="1"/>
  <c r="K47" i="9"/>
  <c r="L47" i="9" s="1"/>
  <c r="N47" i="9" s="1"/>
  <c r="O47" i="9" s="1"/>
  <c r="M46" i="9"/>
  <c r="F48" i="9" l="1"/>
  <c r="G48" i="9"/>
  <c r="H48" i="9"/>
  <c r="E49" i="9" s="1"/>
  <c r="G49" i="9" s="1"/>
  <c r="M47" i="9"/>
  <c r="K48" i="9" l="1"/>
  <c r="L48" i="9" s="1"/>
  <c r="N48" i="9" s="1"/>
  <c r="O48" i="9" s="1"/>
  <c r="H49" i="9"/>
  <c r="F49" i="9"/>
  <c r="M48" i="9" l="1"/>
  <c r="K49" i="9"/>
  <c r="L49" i="9" s="1"/>
  <c r="N49" i="9" s="1"/>
  <c r="O49" i="9" s="1"/>
  <c r="E50" i="9"/>
  <c r="G50" i="9" s="1"/>
  <c r="M49" i="9" l="1"/>
  <c r="H50" i="9"/>
  <c r="F50" i="9"/>
  <c r="K50" i="9" l="1"/>
  <c r="L50" i="9" s="1"/>
  <c r="N50" i="9" s="1"/>
  <c r="O50" i="9" s="1"/>
  <c r="E51" i="9"/>
  <c r="G51" i="9" s="1"/>
  <c r="M50" i="9" l="1"/>
  <c r="H51" i="9"/>
  <c r="F51" i="9"/>
  <c r="K51" i="9" l="1"/>
  <c r="L51" i="9" s="1"/>
  <c r="N51" i="9" s="1"/>
  <c r="O51" i="9" s="1"/>
  <c r="E52" i="9"/>
  <c r="G52" i="9" s="1"/>
  <c r="M51" i="9" l="1"/>
  <c r="H52" i="9"/>
  <c r="F52" i="9"/>
  <c r="K52" i="9" l="1"/>
  <c r="L52" i="9" s="1"/>
  <c r="N52" i="9" s="1"/>
  <c r="O52" i="9" s="1"/>
  <c r="E53" i="9"/>
  <c r="G53" i="9" s="1"/>
  <c r="M52" i="9" l="1"/>
  <c r="H53" i="9"/>
  <c r="F53" i="9"/>
  <c r="K53" i="9" l="1"/>
  <c r="L53" i="9" s="1"/>
  <c r="E54" i="9"/>
  <c r="G54" i="9" s="1"/>
  <c r="H54" i="9" l="1"/>
  <c r="F54" i="9"/>
  <c r="N53" i="9"/>
  <c r="O53" i="9" s="1"/>
  <c r="M53" i="9"/>
  <c r="K54" i="9" l="1"/>
  <c r="L54" i="9" s="1"/>
  <c r="M54" i="9" s="1"/>
  <c r="E55" i="9"/>
  <c r="G55" i="9" s="1"/>
  <c r="H55" i="9" l="1"/>
  <c r="F55" i="9"/>
  <c r="N54" i="9"/>
  <c r="O54" i="9" s="1"/>
  <c r="K55" i="9" l="1"/>
  <c r="L55" i="9" s="1"/>
  <c r="E56" i="9"/>
  <c r="G56" i="9" s="1"/>
  <c r="H56" i="9" l="1"/>
  <c r="F56" i="9"/>
  <c r="N55" i="9"/>
  <c r="O55" i="9" s="1"/>
  <c r="M55" i="9"/>
  <c r="K56" i="9" l="1"/>
  <c r="L56" i="9" s="1"/>
  <c r="E57" i="9"/>
  <c r="G57" i="9" s="1"/>
  <c r="H57" i="9" l="1"/>
  <c r="F57" i="9"/>
  <c r="N56" i="9"/>
  <c r="O56" i="9" s="1"/>
  <c r="M56" i="9"/>
  <c r="K57" i="9" l="1"/>
  <c r="L57" i="9" s="1"/>
  <c r="E58" i="9"/>
  <c r="G58" i="9" s="1"/>
  <c r="G59" i="9" l="1"/>
  <c r="H58" i="9"/>
  <c r="N57" i="9"/>
  <c r="O57" i="9" s="1"/>
  <c r="M57" i="9"/>
  <c r="F58" i="9"/>
  <c r="K58" i="9" l="1"/>
  <c r="L58" i="9" s="1"/>
  <c r="M58" i="9" s="1"/>
  <c r="K59" i="9" l="1"/>
  <c r="D81" i="9" s="1"/>
  <c r="N58" i="9"/>
  <c r="D80" i="9"/>
  <c r="F18" i="3" s="1"/>
  <c r="O58" i="9" l="1"/>
  <c r="O59" i="9" s="1"/>
  <c r="D78" i="9" s="1"/>
  <c r="E18" i="3" s="1"/>
  <c r="D77" i="9"/>
  <c r="D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D9" authorId="0" shapeId="0" xr:uid="{2990BB3E-E284-4BF6-8717-932EFC3E53B1}">
      <text>
        <r>
          <rPr>
            <b/>
            <sz val="9"/>
            <color indexed="81"/>
            <rFont val="Tahoma"/>
            <family val="2"/>
          </rPr>
          <t>Rummukainen Miika:</t>
        </r>
        <r>
          <rPr>
            <sz val="9"/>
            <color indexed="81"/>
            <rFont val="Tahoma"/>
            <family val="2"/>
          </rPr>
          <t xml:space="preserve">
Huom! 
Kaukolämpö: tehomaksu, kausihinta, ym.
Sähkölämmitys: sähköenergia, sähkönsiirto, verot 
Öljylämmitys: 1,0 - 1,1 €/litra =&gt; kWh muunnos.
Tarkista omalta energiatoimittajalta (sähkö, kaukolämpö, öljy)!
Öljy: www.polttoaineet.net
Huom! Lähtötietoina hinnat joko "sis alv 0%" = yritykset, kunnat tai "veroineen" =  kuluttajat.</t>
        </r>
      </text>
    </comment>
    <comment ref="D10" authorId="0" shapeId="0" xr:uid="{052A8087-F9B7-43FC-81F6-807E888235D1}">
      <text>
        <r>
          <rPr>
            <b/>
            <sz val="9"/>
            <color indexed="81"/>
            <rFont val="Tahoma"/>
            <family val="2"/>
          </rPr>
          <t>Rummukainen Miika:</t>
        </r>
        <r>
          <rPr>
            <sz val="9"/>
            <color indexed="81"/>
            <rFont val="Tahoma"/>
            <family val="2"/>
          </rPr>
          <t xml:space="preserve">
Kaukolämpö 010718-010719. Esim 1,5-2%. (jossain vertailulaskemissa on huomioitu energian hintojen nousua, joka on öljyllä n. 9,4 % vuodessa ja sähköllä n. 5,2 % vuodessa…)
Kevät 2020: öljynhinta laskenut 1,0-1,1€/litrasta 0,65-0,7€/litraan (-35%), sähköenergianhinta laskenut 4-5c/kWh:sta 2-3c/kWh:iin.
Varmaa on vain suuremmat energianhintojen vaihtelut tulevaisuudessa.
</t>
        </r>
      </text>
    </comment>
    <comment ref="D11" authorId="0" shapeId="0" xr:uid="{22DE6108-B88C-4681-B9CF-3078D73063E8}">
      <text>
        <r>
          <rPr>
            <b/>
            <sz val="9"/>
            <color indexed="81"/>
            <rFont val="Tahoma"/>
            <family val="2"/>
          </rPr>
          <t>Rummukainen Miika:</t>
        </r>
        <r>
          <rPr>
            <sz val="9"/>
            <color indexed="81"/>
            <rFont val="Tahoma"/>
            <family val="2"/>
          </rPr>
          <t xml:space="preserve">
Huom! Muunnos esim. litroista tai kuutioista kWh:ksi.
Esim. öljylämmityksen kulutettu litramäärä sisältää noin 10 kWh lämpöenergiaa.</t>
        </r>
      </text>
    </comment>
    <comment ref="D12" authorId="0" shapeId="0" xr:uid="{BA2D12DC-B432-4642-8C04-9E44849FA5F2}">
      <text>
        <r>
          <rPr>
            <b/>
            <sz val="9"/>
            <color indexed="81"/>
            <rFont val="Tahoma"/>
            <family val="2"/>
          </rPr>
          <t>Rummukainen Miika:</t>
        </r>
        <r>
          <rPr>
            <sz val="9"/>
            <color indexed="81"/>
            <rFont val="Tahoma"/>
            <family val="2"/>
          </rPr>
          <t xml:space="preserve">
Oletus 100%. 
Esim. öljylämmitys oletus 80% hyötysuhteella.</t>
        </r>
      </text>
    </comment>
    <comment ref="D13" authorId="0" shapeId="0" xr:uid="{498140EF-051B-4D96-B9D2-27C50BF02683}">
      <text>
        <r>
          <rPr>
            <b/>
            <sz val="9"/>
            <color indexed="81"/>
            <rFont val="Tahoma"/>
            <family val="2"/>
          </rPr>
          <t>Rummukainen Miika:</t>
        </r>
        <r>
          <rPr>
            <sz val="9"/>
            <color indexed="81"/>
            <rFont val="Tahoma"/>
            <family val="2"/>
          </rPr>
          <t xml:space="preserve">
Korvattu arvo, huomioidaan kannattavuuslaskelmissa</t>
        </r>
      </text>
    </comment>
    <comment ref="D14" authorId="0" shapeId="0" xr:uid="{E1FAD116-F3EB-41E4-B185-E32FDD116CD5}">
      <text>
        <r>
          <rPr>
            <b/>
            <sz val="9"/>
            <color indexed="81"/>
            <rFont val="Tahoma"/>
            <family val="2"/>
          </rPr>
          <t>Rummukainen Miika:</t>
        </r>
        <r>
          <rPr>
            <sz val="9"/>
            <color indexed="81"/>
            <rFont val="Tahoma"/>
            <family val="2"/>
          </rPr>
          <t xml:space="preserve">
Tarvitaan, jos halutaan laskea esim. muutoksia yhtiövastikkeeseen.</t>
        </r>
      </text>
    </comment>
    <comment ref="D18" authorId="0" shapeId="0" xr:uid="{E85572E0-61B3-4E2E-B32F-4B548A98FD5B}">
      <text>
        <r>
          <rPr>
            <b/>
            <sz val="9"/>
            <color indexed="81"/>
            <rFont val="Tahoma"/>
            <family val="2"/>
          </rPr>
          <t>Rummukainen Miika:</t>
        </r>
        <r>
          <rPr>
            <sz val="9"/>
            <color indexed="81"/>
            <rFont val="Tahoma"/>
            <family val="2"/>
          </rPr>
          <t xml:space="preserve">
Esim. tyypilliisiä: COP MLP 3,20, IVLP 2,50</t>
        </r>
      </text>
    </comment>
    <comment ref="D19" authorId="0" shapeId="0" xr:uid="{0DE40653-A500-4F55-BB09-ACC62E75C692}">
      <text>
        <r>
          <rPr>
            <b/>
            <sz val="9"/>
            <color indexed="81"/>
            <rFont val="Tahoma"/>
            <family val="2"/>
          </rPr>
          <t>Rummukainen Miika:</t>
        </r>
        <r>
          <rPr>
            <sz val="9"/>
            <color indexed="81"/>
            <rFont val="Tahoma"/>
            <family val="2"/>
          </rPr>
          <t xml:space="preserve">
Lähde www.sulpu.fi: esim. VILP (7-9kW; 10000€) mitoitettavissa 10500kWh/vuosi säästöön energiankulutuksessa (lämmitys).
Arvio esim. VILP asennus 500 … 1000 € 
Huom! Lähtötietoina hinnat joko "sis alv 0%" = yritykset, kunnat tai "veroineen" = kuluttajat.</t>
        </r>
      </text>
    </comment>
    <comment ref="D20" authorId="0" shapeId="0" xr:uid="{689C1409-C48F-4773-B70D-DFF7CA273E5A}">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ARA energia-avustus:
Kun e-luvun parannusehto tai avustuksen saamisen taso täyttyy (esim. korjausten jälkeinen E-luku on enintään 0,56 (hlöasiakkaat!) / 0,64 (rivitalot) / 0,68 (kerrostalot) x rakentamisvuoden E-luku, enint. 4000 € per asunto), niin esim.
E-luvun laskenta 100%
öljylämmityksestä luopuminen 100%
lämpöpumput, LTO sekä aurinkoenergia 50%
Avustus on kuitenkin enintään 50 %:ia hankkeen toteutuneista, energiatehokkuutta parantavista ja avustettavaksi hyväksytyistä kustannuksista 
 ELY-keskus: öljylämmityksestä luopumisen avustus:
2 500 euroa tai 4 000 euroa uudesta lämmitysjärjestelmästä riippuen.
 Business Finland energiatuki:
Energiatukea eivät saa: asunto-osakeyhtiöt, asuinkiinteistöt, maatilat, ...
Lämpöpumppuhankkeet * 15 %
Aurinkosähköhankkeet 1.5.2019 alkaen 20 %
Uuden teknologian hankkeet enintään 40%</t>
        </r>
      </text>
    </comment>
    <comment ref="D21" authorId="0" shapeId="0" xr:uid="{14509C29-A39C-46FD-90DB-FE80A334D29E}">
      <text>
        <r>
          <rPr>
            <b/>
            <sz val="9"/>
            <color indexed="81"/>
            <rFont val="Tahoma"/>
            <family val="2"/>
          </rPr>
          <t>Rummukainen Miika:</t>
        </r>
        <r>
          <rPr>
            <sz val="9"/>
            <color indexed="81"/>
            <rFont val="Tahoma"/>
            <family val="2"/>
          </rPr>
          <t xml:space="preserve">
Tapauskohtaisesti arvioitavissa. Lähes aina lisää kiinteistön arvoa. Arvo vähennetään investointikustannuksesta!</t>
        </r>
      </text>
    </comment>
    <comment ref="D22" authorId="1" shapeId="0" xr:uid="{844DC6B7-5BEA-48EF-BD6C-7F3569F856BC}">
      <text>
        <r>
          <rPr>
            <sz val="12"/>
            <color rgb="FF000000"/>
            <rFont val="Calibri"/>
            <family val="2"/>
          </rPr>
          <t xml:space="preserve"> Huom! Tuotto-odotus vain tapauksissa, kun sijoitetaan aurinkovoimaan muutoin kuin omaan käyttöön (useimmiten). Tyypillisesti luokkaa 2%.</t>
        </r>
      </text>
    </comment>
    <comment ref="D24" authorId="0" shapeId="0" xr:uid="{FD7481BF-C826-4443-993F-310E366FCAB5}">
      <text>
        <r>
          <rPr>
            <b/>
            <sz val="9"/>
            <color indexed="81"/>
            <rFont val="Tahoma"/>
            <family val="2"/>
          </rPr>
          <t>Rummukainen Miika:</t>
        </r>
        <r>
          <rPr>
            <sz val="9"/>
            <color indexed="81"/>
            <rFont val="Tahoma"/>
            <family val="2"/>
          </rPr>
          <t xml:space="preserve">
Vinkki: kysy omalta energiayhtiöltä
Huom! Energiayhtiön mahdollinen pientuotannon siirtomaksu.
Huom! Lähtötietoina hinnat joko "sis alv 0%" = yritykset, kunnat tai "veroineen" =  kuluttajat.</t>
        </r>
      </text>
    </comment>
    <comment ref="D25" authorId="0" shapeId="0" xr:uid="{4E796378-93CA-4DFD-B4A7-CC43CA898A6A}">
      <text>
        <r>
          <rPr>
            <b/>
            <sz val="9"/>
            <color indexed="81"/>
            <rFont val="Tahoma"/>
            <family val="2"/>
          </rPr>
          <t>Rummukainen Miika:</t>
        </r>
        <r>
          <rPr>
            <sz val="9"/>
            <color indexed="81"/>
            <rFont val="Tahoma"/>
            <family val="2"/>
          </rPr>
          <t xml:space="preserve">
Esim. MLP huolto 220€, VILP 220€, PILP 200€, ILP 180€. Esim. kompressori, lämpökaivot, liuokset.
Elinkaaren vuosittaiset ja kertaluonteiset kulut lasketaan yhteen ja jaetaan elinkaaren kestolla (vuotta).
Huom! Lähtötietoina hinnat joko "sis alv 0%" = yritykset, kunnat tai "veroineen" =  kuluttajat.</t>
        </r>
      </text>
    </comment>
    <comment ref="D27" authorId="0" shapeId="0" xr:uid="{06CC3FD5-C24D-4620-B592-FDFBE25D9CF8}">
      <text>
        <r>
          <rPr>
            <b/>
            <sz val="9"/>
            <color indexed="81"/>
            <rFont val="Tahoma"/>
            <family val="2"/>
          </rPr>
          <t>Rummukainen Miika:</t>
        </r>
        <r>
          <rPr>
            <sz val="9"/>
            <color indexed="81"/>
            <rFont val="Tahoma"/>
            <family val="2"/>
          </rPr>
          <t xml:space="preserve">
Arvio, voi olla 0%.
Arvo -x,y %. 
Voi olla järjestelmä-, laitevalmistajakohtainen.
</t>
        </r>
      </text>
    </comment>
    <comment ref="D31" authorId="0" shapeId="0" xr:uid="{7B4B7694-08A2-4DEC-BEA2-10420125ACD7}">
      <text>
        <r>
          <rPr>
            <b/>
            <sz val="9"/>
            <color indexed="81"/>
            <rFont val="Tahoma"/>
            <family val="2"/>
          </rPr>
          <t>Rummukainen Miika:</t>
        </r>
        <r>
          <rPr>
            <sz val="9"/>
            <color indexed="81"/>
            <rFont val="Tahoma"/>
            <family val="2"/>
          </rPr>
          <t xml:space="preserve">
 Rahoituskulu, eli minkä korkoista lainaa tai muuta rahoitusta investointiin voidaan käyttää. Kotitalousasiakkaat &lt;2%, kunnat voi olla 0%.</t>
        </r>
      </text>
    </comment>
    <comment ref="N37" authorId="1" shapeId="0" xr:uid="{111E3E19-735B-474E-90AE-B87C90F729D8}">
      <text>
        <r>
          <rPr>
            <sz val="12"/>
            <color rgb="FF000000"/>
            <rFont val="Calibri"/>
            <family val="2"/>
          </rPr>
          <t xml:space="preserve">Laskee kumulatiiviset meno- ja kumulatiiviset tulovirrat yhteen määritellyllä laskentakorolla. Positiiviset arvot tarkoittavat stiä, että investointi tuottaa enemmän kuin siihen on mennyt rahaa.  nnattavaa investointia ja negatiiviset kannattamatonta. </t>
        </r>
      </text>
    </comment>
    <comment ref="O59" authorId="1" shapeId="0" xr:uid="{C84116BB-59A9-454D-9E83-F7DC3FC54524}">
      <text>
        <r>
          <rPr>
            <sz val="12"/>
            <color rgb="FF000000"/>
            <rFont val="Calibri"/>
            <family val="2"/>
          </rPr>
          <t xml:space="preserve">Takaisinmaksuaika
</t>
        </r>
      </text>
    </comment>
    <comment ref="S59" authorId="1" shapeId="0" xr:uid="{27350314-55E2-4CF2-926E-B4E4B074BC0F}">
      <text>
        <r>
          <rPr>
            <sz val="12"/>
            <color rgb="FF000000"/>
            <rFont val="Calibri"/>
            <family val="2"/>
          </rPr>
          <t>Nettonykyarvo</t>
        </r>
      </text>
    </comment>
    <comment ref="D65" authorId="0" shapeId="0" xr:uid="{1711FF6C-0A2D-455C-9AD6-4FBB9DB521C9}">
      <text>
        <r>
          <rPr>
            <b/>
            <sz val="9"/>
            <color indexed="81"/>
            <rFont val="Tahoma"/>
            <family val="2"/>
          </rPr>
          <t>Rummukainen Miika:</t>
        </r>
        <r>
          <rPr>
            <sz val="9"/>
            <color indexed="81"/>
            <rFont val="Tahoma"/>
            <family val="2"/>
          </rPr>
          <t xml:space="preserve">
Huom! Voi olla yksi, jos huomioitu esim. vuosituotaanossa jo.
</t>
        </r>
      </text>
    </comment>
    <comment ref="D68" authorId="0" shapeId="0" xr:uid="{C0359492-80E0-41E6-AF38-5050E6E9D3B6}">
      <text>
        <r>
          <rPr>
            <b/>
            <sz val="9"/>
            <color indexed="81"/>
            <rFont val="Tahoma"/>
            <family val="2"/>
          </rPr>
          <t>Rummukainen Miika:</t>
        </r>
        <r>
          <rPr>
            <sz val="9"/>
            <color indexed="81"/>
            <rFont val="Tahoma"/>
            <family val="2"/>
          </rPr>
          <t xml:space="preserve">
MLP 20+ (Käytetty: 25), IVLP 15+ (Käytetty: 20), ILP 10+ (Käytetty: 15).
Investoinnin laskenta-aika/elinkaari.</t>
        </r>
      </text>
    </comment>
    <comment ref="D69" authorId="0" shapeId="0" xr:uid="{522ED4E7-046A-497D-86A0-68CAE6A8707D}">
      <text>
        <r>
          <rPr>
            <b/>
            <sz val="9"/>
            <color indexed="81"/>
            <rFont val="Tahoma"/>
            <family val="2"/>
          </rPr>
          <t>Rummukainen Miika:</t>
        </r>
        <r>
          <rPr>
            <sz val="9"/>
            <color indexed="81"/>
            <rFont val="Tahoma"/>
            <family val="2"/>
          </rPr>
          <t xml:space="preserve">
IVLP voidaan mitoittaa 75% huipputehon tarpeesta.</t>
        </r>
      </text>
    </comment>
    <comment ref="D70" authorId="0" shapeId="0" xr:uid="{40FD8D7E-3847-40CE-85EC-93EB128E54E5}">
      <text>
        <r>
          <rPr>
            <b/>
            <sz val="9"/>
            <color indexed="81"/>
            <rFont val="Tahoma"/>
            <family val="2"/>
          </rPr>
          <t>Rummukainen Miika:</t>
        </r>
        <r>
          <rPr>
            <sz val="9"/>
            <color indexed="81"/>
            <rFont val="Tahoma"/>
            <family val="2"/>
          </rPr>
          <t xml:space="preserve">
Jos 
1* vero.fi kotitalousvähennys:
=D19-JOS(D19*D20&gt;2250;2250;D19*D20+100)-D2119*D20-D21
2* ara.fi energia-avustus:
hlöasiakkaat=D19-JOS(TAI(D19*D20&gt;4000;D19*D20&gt;0,5*D19);4000;D19*D20)-D21
tayt=D19-JOS(D14*4000&gt;0,5*D19;0,5*D19;D14*4000)
Huom! maksimi 50% kuluista
3* ely-keskus Öljylämmityksestä luopumisen avustus:
=D19-JOS(D19*D20&gt;4000;4000;D19*D20)-D21
4* Business Finland
=D19-D19*D20</t>
        </r>
      </text>
    </comment>
    <comment ref="D73" authorId="0" shapeId="0" xr:uid="{33AE4B9D-1321-4EC6-9EA4-2E69070D9055}">
      <text>
        <r>
          <rPr>
            <b/>
            <sz val="9"/>
            <color indexed="81"/>
            <rFont val="Tahoma"/>
            <family val="2"/>
          </rPr>
          <t>Rummukainen Miika:</t>
        </r>
        <r>
          <rPr>
            <sz val="9"/>
            <color indexed="81"/>
            <rFont val="Tahoma"/>
            <family val="2"/>
          </rPr>
          <t xml:space="preserve">
Kun järjestelmän mitoitus osittainen koko.
Huom. Tarkista millä muu lämpö toteutetan!</t>
        </r>
      </text>
    </comment>
    <comment ref="D74" authorId="0" shapeId="0" xr:uid="{9BB02D6D-3DCE-4FAD-A949-4EEC967565DD}">
      <text>
        <r>
          <rPr>
            <b/>
            <sz val="9"/>
            <color indexed="81"/>
            <rFont val="Tahoma"/>
            <family val="2"/>
          </rPr>
          <t>Rummukainen Miika:</t>
        </r>
        <r>
          <rPr>
            <sz val="9"/>
            <color indexed="81"/>
            <rFont val="Tahoma"/>
            <family val="2"/>
          </rPr>
          <t xml:space="preserve">
Esim. lämpöpumpun kuluttama sähkö elinkaaren aikana.
</t>
        </r>
      </text>
    </comment>
    <comment ref="D77" authorId="1" shapeId="0" xr:uid="{A574286A-527E-4CF4-8031-BAAAB956290A}">
      <text>
        <r>
          <rPr>
            <sz val="12"/>
            <color rgb="FF000000"/>
            <rFont val="Calibri"/>
            <family val="2"/>
          </rPr>
          <t>Investoinnin sisäinen korkokanta saadaan säätämällä korkokanta niin että tämä luku on nolla.
 -Jouni Juntunen</t>
        </r>
      </text>
    </comment>
    <comment ref="D78" authorId="0" shapeId="0" xr:uid="{C154AC13-FAC4-4B13-AE98-077BD42EA2E8}">
      <text>
        <r>
          <rPr>
            <b/>
            <sz val="9"/>
            <color indexed="81"/>
            <rFont val="Tahoma"/>
            <family val="2"/>
          </rPr>
          <t>Rummukainen Miika:</t>
        </r>
        <r>
          <rPr>
            <sz val="9"/>
            <color indexed="81"/>
            <rFont val="Tahoma"/>
            <family val="2"/>
          </rPr>
          <t xml:space="preserve">
Tyypillisesti luokkaa 5-6 vuotta. Sulpu 7,5 vuotta</t>
        </r>
      </text>
    </comment>
    <comment ref="D80" authorId="1" shapeId="0" xr:uid="{EA81FB6F-DEF4-4BBF-93D8-46C789C1C427}">
      <text>
        <r>
          <rPr>
            <sz val="12"/>
            <color rgb="FF000000"/>
            <rFont val="Calibri"/>
            <family val="2"/>
          </rPr>
          <t>Investointiin sidotun pääoman tuotto (tai tuotto-odotus).
Tuottoprosentti, kun tarkastellaan investointia käyttöiän jaksolla.
Lisätietoja:
http://users.metropolia.fi/~mikalem/investointilaskenta/5.%20Investoinnit_Sisainen_korkokanta_ROI_190913.pdf</t>
        </r>
      </text>
    </comment>
    <comment ref="D84" authorId="0" shapeId="0" xr:uid="{C5E3B7A4-2169-4F36-97DE-8898CFA1E285}">
      <text>
        <r>
          <rPr>
            <b/>
            <sz val="9"/>
            <color indexed="81"/>
            <rFont val="Tahoma"/>
            <family val="2"/>
          </rPr>
          <t>Rummukainen Miika:</t>
        </r>
        <r>
          <rPr>
            <sz val="9"/>
            <color indexed="81"/>
            <rFont val="Tahoma"/>
            <family val="2"/>
          </rPr>
          <t xml:space="preserve">
Suomen keskimääräinen ostosähkö. Tarkista omalta energiatoimittajalta!</t>
        </r>
      </text>
    </comment>
    <comment ref="D85" authorId="0" shapeId="0" xr:uid="{B2EFAAA5-5277-46A6-95E3-CCD6B56385AA}">
      <text>
        <r>
          <rPr>
            <b/>
            <sz val="9"/>
            <color indexed="81"/>
            <rFont val="Tahoma"/>
            <family val="2"/>
          </rPr>
          <t>Rummukainen Miika:</t>
        </r>
        <r>
          <rPr>
            <sz val="9"/>
            <color indexed="81"/>
            <rFont val="Tahoma"/>
            <family val="2"/>
          </rPr>
          <t xml:space="preserve">
Kaukolämmön yhteistuotanto. Tarkista omalta energiatoimittajalta!</t>
        </r>
      </text>
    </comment>
    <comment ref="D86" authorId="0" shapeId="0" xr:uid="{FC47E304-A229-4B0A-9D78-FF9030E9C407}">
      <text>
        <r>
          <rPr>
            <b/>
            <sz val="9"/>
            <color indexed="81"/>
            <rFont val="Tahoma"/>
            <family val="2"/>
          </rPr>
          <t>Rummukainen Miika:</t>
        </r>
        <r>
          <rPr>
            <sz val="9"/>
            <color indexed="81"/>
            <rFont val="Tahoma"/>
            <family val="2"/>
          </rPr>
          <t xml:space="preserve">
Kevyt polttoöljy,
lämpöarvo 11,85 kWh/l</t>
        </r>
      </text>
    </comment>
    <comment ref="D87" authorId="0" shapeId="0" xr:uid="{630DFF00-EE68-48B7-B85F-8B15BA908FD7}">
      <text>
        <r>
          <rPr>
            <b/>
            <sz val="9"/>
            <color indexed="81"/>
            <rFont val="Tahoma"/>
            <family val="2"/>
          </rPr>
          <t>Rummukainen Miika:</t>
        </r>
        <r>
          <rPr>
            <sz val="9"/>
            <color indexed="81"/>
            <rFont val="Tahoma"/>
            <family val="2"/>
          </rPr>
          <t xml:space="preserve">
Säästetty energiamäärä x päästökerroin</t>
        </r>
      </text>
    </comment>
    <comment ref="D88" authorId="0" shapeId="0" xr:uid="{BF47D814-91B4-4733-8B12-795ABE9FF28E}">
      <text>
        <r>
          <rPr>
            <b/>
            <sz val="9"/>
            <color indexed="81"/>
            <rFont val="Tahoma"/>
            <family val="2"/>
          </rPr>
          <t>Rummukainen Miika:</t>
        </r>
        <r>
          <rPr>
            <sz val="9"/>
            <color indexed="81"/>
            <rFont val="Tahoma"/>
            <family val="2"/>
          </rPr>
          <t xml:space="preserve">
Säästetty energiamäärä x päästökerroin</t>
        </r>
      </text>
    </comment>
    <comment ref="D92" authorId="0" shapeId="0" xr:uid="{57F16A96-F3BB-4F92-BD6B-E766574F336A}">
      <text>
        <r>
          <rPr>
            <b/>
            <sz val="9"/>
            <color indexed="81"/>
            <rFont val="Tahoma"/>
            <family val="2"/>
          </rPr>
          <t>Rummukainen Miika:</t>
        </r>
        <r>
          <rPr>
            <sz val="9"/>
            <color indexed="81"/>
            <rFont val="Tahoma"/>
            <family val="2"/>
          </rPr>
          <t xml:space="preserve">
Jota lämpöpumppuenergia korvaa tai täydentää
</t>
        </r>
      </text>
    </comment>
    <comment ref="E92" authorId="0" shapeId="0" xr:uid="{BFDA1573-790A-4726-B9EB-93A057A5C343}">
      <text>
        <r>
          <rPr>
            <b/>
            <sz val="9"/>
            <color indexed="81"/>
            <rFont val="Tahoma"/>
            <family val="2"/>
          </rPr>
          <t>Rummukainen Miika:</t>
        </r>
        <r>
          <rPr>
            <sz val="9"/>
            <color indexed="81"/>
            <rFont val="Tahoma"/>
            <family val="2"/>
          </rPr>
          <t xml:space="preserve">
Jos ei hintaa, niin laita 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D9" authorId="0" shapeId="0" xr:uid="{AE5419EA-E86E-4069-9D23-8E5BD612D48D}">
      <text>
        <r>
          <rPr>
            <b/>
            <sz val="9"/>
            <color indexed="81"/>
            <rFont val="Tahoma"/>
            <family val="2"/>
          </rPr>
          <t>Rummukainen Miika:</t>
        </r>
        <r>
          <rPr>
            <sz val="9"/>
            <color indexed="81"/>
            <rFont val="Tahoma"/>
            <family val="2"/>
          </rPr>
          <t xml:space="preserve">
Huom! 
Kaukolämpö: tehomaksu, kausihinta, ym.
Sähkölämmitys: sähköenergia, sähkönsiirto, verot 
Öljylämmitys: 1,0 - 1,1 €/litra =&gt; kWh muunnos.
Tarkista omalta energiatoimittajalta (sähkö, kaukolämpö, öljy)!
Öljy: www.polttoaineet.net
Huom! Lähtötietoina hinnat joko "sis alv 0%" = yritykset, kunnat tai "veroineen" =  kuluttajat.</t>
        </r>
      </text>
    </comment>
    <comment ref="D10" authorId="0" shapeId="0" xr:uid="{609C7BD8-75CF-4F2A-A0D2-35C954F80802}">
      <text>
        <r>
          <rPr>
            <b/>
            <sz val="9"/>
            <color indexed="81"/>
            <rFont val="Tahoma"/>
            <family val="2"/>
          </rPr>
          <t>Rummukainen Miika:</t>
        </r>
        <r>
          <rPr>
            <sz val="9"/>
            <color indexed="81"/>
            <rFont val="Tahoma"/>
            <family val="2"/>
          </rPr>
          <t xml:space="preserve">
Kaukolämpö 010718-010719. Esim 1,5-2%. (jossain vertailulaskemissa on huomioitu energian hintojen nousua, joka on öljyllä n. 9,4 % vuodessa ja sähköllä n. 5,2 % vuodessa…)
Kevät 2020: öljynhinta laskenut 1,0-1,1€/litrasta 0,65-0,7€/litraan (-35%), sähköenergianhinta laskenut 4-5c/kWh:sta 2-3c/kWh:iin.
Varmaa on vain suuremmat energianhintojen vaihtelut tulevaisuudessa.
</t>
        </r>
      </text>
    </comment>
    <comment ref="D11" authorId="0" shapeId="0" xr:uid="{28DE3DB7-2959-45CC-AF86-04982D9B1385}">
      <text>
        <r>
          <rPr>
            <b/>
            <sz val="9"/>
            <color indexed="81"/>
            <rFont val="Tahoma"/>
            <family val="2"/>
          </rPr>
          <t>Rummukainen Miika:</t>
        </r>
        <r>
          <rPr>
            <sz val="9"/>
            <color indexed="81"/>
            <rFont val="Tahoma"/>
            <family val="2"/>
          </rPr>
          <t xml:space="preserve">
Huom! Muunnos esim. litroista tai kuutioista kWh:ksi.
Esim. öljylämmityksen kulutettu litramäärä sisältää noin 10 kWh lämpöenergiaa.</t>
        </r>
      </text>
    </comment>
    <comment ref="D12" authorId="0" shapeId="0" xr:uid="{65885661-F9C0-4960-80BC-9ED2B3B706A3}">
      <text>
        <r>
          <rPr>
            <b/>
            <sz val="9"/>
            <color indexed="81"/>
            <rFont val="Tahoma"/>
            <family val="2"/>
          </rPr>
          <t>Rummukainen Miika:</t>
        </r>
        <r>
          <rPr>
            <sz val="9"/>
            <color indexed="81"/>
            <rFont val="Tahoma"/>
            <family val="2"/>
          </rPr>
          <t xml:space="preserve">
Oletus 100%. 
Esim. öljylämmitys oletus 80% hyötysuhteella.</t>
        </r>
      </text>
    </comment>
    <comment ref="D13" authorId="0" shapeId="0" xr:uid="{050C21FC-D53B-45B7-8E85-4B5E59B8DFF0}">
      <text>
        <r>
          <rPr>
            <b/>
            <sz val="9"/>
            <color indexed="81"/>
            <rFont val="Tahoma"/>
            <family val="2"/>
          </rPr>
          <t>Rummukainen Miika:</t>
        </r>
        <r>
          <rPr>
            <sz val="9"/>
            <color indexed="81"/>
            <rFont val="Tahoma"/>
            <family val="2"/>
          </rPr>
          <t xml:space="preserve">
Korvattu arvo, huomioidaan kannattavuuslaskelmissa</t>
        </r>
      </text>
    </comment>
    <comment ref="D14" authorId="0" shapeId="0" xr:uid="{595A87BC-1122-4B13-8549-6EB82E6D9D73}">
      <text>
        <r>
          <rPr>
            <b/>
            <sz val="9"/>
            <color indexed="81"/>
            <rFont val="Tahoma"/>
            <family val="2"/>
          </rPr>
          <t>Rummukainen Miika:</t>
        </r>
        <r>
          <rPr>
            <sz val="9"/>
            <color indexed="81"/>
            <rFont val="Tahoma"/>
            <family val="2"/>
          </rPr>
          <t xml:space="preserve">
Tarvitaan, jos halutaan laskea esim. muutoksia yhtiövastikkeeseen.</t>
        </r>
      </text>
    </comment>
    <comment ref="D18" authorId="0" shapeId="0" xr:uid="{475B1AAD-3354-404B-81DD-AEE641937FDF}">
      <text>
        <r>
          <rPr>
            <b/>
            <sz val="9"/>
            <color indexed="81"/>
            <rFont val="Tahoma"/>
            <family val="2"/>
          </rPr>
          <t>Rummukainen Miika:</t>
        </r>
        <r>
          <rPr>
            <sz val="9"/>
            <color indexed="81"/>
            <rFont val="Tahoma"/>
            <family val="2"/>
          </rPr>
          <t xml:space="preserve">
Esim. tyypillisiä: COP MLP 3,20.
 </t>
        </r>
      </text>
    </comment>
    <comment ref="D19" authorId="0" shapeId="0" xr:uid="{1F34FC1F-3180-4F6C-A715-357E031E9CE3}">
      <text>
        <r>
          <rPr>
            <b/>
            <sz val="9"/>
            <color indexed="81"/>
            <rFont val="Tahoma"/>
            <family val="2"/>
          </rPr>
          <t xml:space="preserve">Rummukainen Miika:
</t>
        </r>
        <r>
          <rPr>
            <sz val="9"/>
            <color indexed="81"/>
            <rFont val="Tahoma"/>
            <family val="2"/>
          </rPr>
          <t>Lähde esim. www.sulpu.fi: MLP (14000…20000€) mitoitettavissa 10500kWh/vuosi säästöön energiankulutuksessa kohteessa jossa 25000 kWH (sähköä lämmitykseen) tai 3000l öljy kulutus.
Arvio, josta esim. MLP kaivojen poraus 6500 €, MLP asennus 500 … 700 €.
Huom! Lähtötietoina hinnat joko "sis alv 0%" = yritykset, kunnat tai "veroineen" =  kuluttajat.</t>
        </r>
      </text>
    </comment>
    <comment ref="D20" authorId="0" shapeId="0" xr:uid="{1012F041-D6D2-453A-B4EA-98CB6DFDB0C9}">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ARA energia-avustus:
Kun e-luvun parannusehto tai avustuksen saamisen taso täyttyy (esim. korjausten jälkeinen E-luku on enintään 0,56 (hlöasiakkaat!) / 0,64 (rivitalot) / 0,68 (kerrostalot) x rakentamisvuoden E-luku, enint. 4000 € per asunto), niin esim.
E-luvun laskenta 100%
öljylämmityksestä luopuminen 100%
lämpöpumput, LTO sekä aurinkoenergia 50%
Avustus on kuitenkin enintään 50 %:ia hankkeen toteutuneista, energiatehokkuutta parantavista ja avustettavaksi hyväksytyistä kustannuksista 
 ELY-keskus: öljylämmityksestä luopumisen avustus:
2 500 euroa tai 4 000 euroa uudesta lämmitysjärjestelmästä riippuen.
 Business Finland energiatuki:
Energiatukea eivät saa: asunto-osakeyhtiöt, asuinkiinteistöt, maatilat, ...
Lämpöpumppuhankkeet * 15 %
Aurinkosähköhankkeet 1.5.2019 alkaen 20 %
Uuden teknologian hankkeet enintään 40%</t>
        </r>
      </text>
    </comment>
    <comment ref="D21" authorId="0" shapeId="0" xr:uid="{0455B757-8CC0-4B65-A90B-F5E6F4B6C260}">
      <text>
        <r>
          <rPr>
            <b/>
            <sz val="9"/>
            <color indexed="81"/>
            <rFont val="Tahoma"/>
            <family val="2"/>
          </rPr>
          <t>Rummukainen Miika:</t>
        </r>
        <r>
          <rPr>
            <sz val="9"/>
            <color indexed="81"/>
            <rFont val="Tahoma"/>
            <family val="2"/>
          </rPr>
          <t xml:space="preserve">
Tapauskohtaisesti arvioitavissa. Lähes aina lisää kiinteistön arvoa. Arvo vähennetään investointikustannuksesta!</t>
        </r>
      </text>
    </comment>
    <comment ref="D22" authorId="1" shapeId="0" xr:uid="{9A540209-5E0B-480A-A75F-3D7494A8658E}">
      <text>
        <r>
          <rPr>
            <sz val="12"/>
            <color rgb="FF000000"/>
            <rFont val="Calibri"/>
            <family val="2"/>
          </rPr>
          <t xml:space="preserve"> Huom! Tuotto-odotus vain tapauksissa, kun sijoitetaan aurinkovoimaan muutoin kuin omaan käyttöön (useimmiten). Tyypillisesti luokkaa 2%.</t>
        </r>
      </text>
    </comment>
    <comment ref="D24" authorId="0" shapeId="0" xr:uid="{025F8C3E-1379-4598-A679-BED472481403}">
      <text>
        <r>
          <rPr>
            <b/>
            <sz val="9"/>
            <color indexed="81"/>
            <rFont val="Tahoma"/>
            <family val="2"/>
          </rPr>
          <t>Rummukainen Miika:</t>
        </r>
        <r>
          <rPr>
            <sz val="9"/>
            <color indexed="81"/>
            <rFont val="Tahoma"/>
            <family val="2"/>
          </rPr>
          <t xml:space="preserve">
Vinkki: kysy omalta energiayhtiöltä
Huom! Energiayhtiön mahdollinen pientuotannon siirtomaksu.
Huom! Lähtötietoina hinnat joko "sis alv 0%" = yritykset, kunnat tai "veroineen" =  kuluttajat.</t>
        </r>
      </text>
    </comment>
    <comment ref="D25" authorId="0" shapeId="0" xr:uid="{CB425FC9-71CA-4462-8A5F-C25C7ABB9B49}">
      <text>
        <r>
          <rPr>
            <b/>
            <sz val="9"/>
            <color indexed="81"/>
            <rFont val="Tahoma"/>
            <family val="2"/>
          </rPr>
          <t>Rummukainen Miika:</t>
        </r>
        <r>
          <rPr>
            <sz val="9"/>
            <color indexed="81"/>
            <rFont val="Tahoma"/>
            <family val="2"/>
          </rPr>
          <t xml:space="preserve">
Esim. MLP huolto 220€, IVLP 220€, PILP 200€, ILP 180€. Esim. kompressori, lämpökaivot, liuokset.
Elinkaaren vuosittaiset ja kertaluonteist kulut lasketaan yhteen ja jaetaan elinkaaren kestolla (vuotta).
Huom! Lähtötietoina hinnat joko "sis alv 0%" = yritykset, kunnat tai "veroineen" =  kuluttajat.</t>
        </r>
      </text>
    </comment>
    <comment ref="D27" authorId="0" shapeId="0" xr:uid="{7DB34002-8548-4FD9-9BA3-A080305A7807}">
      <text>
        <r>
          <rPr>
            <b/>
            <sz val="9"/>
            <color indexed="81"/>
            <rFont val="Tahoma"/>
            <family val="2"/>
          </rPr>
          <t>Rummukainen Miika:</t>
        </r>
        <r>
          <rPr>
            <sz val="9"/>
            <color indexed="81"/>
            <rFont val="Tahoma"/>
            <family val="2"/>
          </rPr>
          <t xml:space="preserve">
Arvio, voi olla 0%.
Arvo -x,y %. 
Voi olla järjestelmä-, laitevalmistajakohtainen.
</t>
        </r>
      </text>
    </comment>
    <comment ref="D31" authorId="0" shapeId="0" xr:uid="{782D5701-3B5F-4B79-9E79-FD1067C5B066}">
      <text>
        <r>
          <rPr>
            <b/>
            <sz val="9"/>
            <color indexed="81"/>
            <rFont val="Tahoma"/>
            <family val="2"/>
          </rPr>
          <t>Rummukainen Miika:</t>
        </r>
        <r>
          <rPr>
            <sz val="9"/>
            <color indexed="81"/>
            <rFont val="Tahoma"/>
            <family val="2"/>
          </rPr>
          <t xml:space="preserve">
 Rahoituskulu, eli minkä korkoista lainaa tai muuta rahoitusta investointiin voidaan käyttää. Kotitalousasiakkaat &lt;2%, kunnat voi olla 0%.</t>
        </r>
      </text>
    </comment>
    <comment ref="N37" authorId="1" shapeId="0" xr:uid="{E1BC0D37-CB4D-4592-9374-9A0CC958DE7D}">
      <text>
        <r>
          <rPr>
            <sz val="12"/>
            <color rgb="FF000000"/>
            <rFont val="Calibri"/>
            <family val="2"/>
          </rPr>
          <t xml:space="preserve">Laskee kumulatiiviset meno- ja kumulatiiviset tulovirrat yhteen määritellyllä laskentakorolla. Positiiviset arvot tarkoittavat stiä, että investointi tuottaa enemmän kuin siihen on mennyt rahaa.  nnattavaa investointia ja negatiiviset kannattamatonta. </t>
        </r>
      </text>
    </comment>
    <comment ref="O64" authorId="1" shapeId="0" xr:uid="{BACC4149-9967-4453-BB1A-AACEE81F9FF2}">
      <text>
        <r>
          <rPr>
            <sz val="12"/>
            <color rgb="FF000000"/>
            <rFont val="Calibri"/>
            <family val="2"/>
          </rPr>
          <t xml:space="preserve">Takaisinmaksuaika
</t>
        </r>
      </text>
    </comment>
    <comment ref="S64" authorId="1" shapeId="0" xr:uid="{460858E1-844A-4DAD-AE7B-A6C6EB9A5BDC}">
      <text>
        <r>
          <rPr>
            <sz val="12"/>
            <color rgb="FF000000"/>
            <rFont val="Calibri"/>
            <family val="2"/>
          </rPr>
          <t>Nettonykyarvo</t>
        </r>
      </text>
    </comment>
    <comment ref="D70" authorId="0" shapeId="0" xr:uid="{96D1CAC2-317D-47C5-80C8-9A9D47B5DBE1}">
      <text>
        <r>
          <rPr>
            <b/>
            <sz val="9"/>
            <color indexed="81"/>
            <rFont val="Tahoma"/>
            <family val="2"/>
          </rPr>
          <t>Rummukainen Miika:</t>
        </r>
        <r>
          <rPr>
            <sz val="9"/>
            <color indexed="81"/>
            <rFont val="Tahoma"/>
            <family val="2"/>
          </rPr>
          <t xml:space="preserve">
Huom! Voi olla yksi, jos huomioitu esim. vuosituotaanossa jo.
</t>
        </r>
      </text>
    </comment>
    <comment ref="D73" authorId="0" shapeId="0" xr:uid="{F6E6D998-4444-4F6C-ADA8-91EBEA78EEBF}">
      <text>
        <r>
          <rPr>
            <b/>
            <sz val="9"/>
            <color indexed="81"/>
            <rFont val="Tahoma"/>
            <family val="2"/>
          </rPr>
          <t>Rummukainen Miika:</t>
        </r>
        <r>
          <rPr>
            <sz val="9"/>
            <color indexed="81"/>
            <rFont val="Tahoma"/>
            <family val="2"/>
          </rPr>
          <t xml:space="preserve">
MLP 20+ (Käytetty: 25), IVLP 15+ (Käytetty: 20), ILP 10+ (Käytetty: 15).
Investoinnin laskenta-aika/elinkaari.</t>
        </r>
      </text>
    </comment>
    <comment ref="D74" authorId="0" shapeId="0" xr:uid="{1342885F-0746-4885-B73A-0350D9DB21AA}">
      <text>
        <r>
          <rPr>
            <b/>
            <sz val="9"/>
            <color indexed="81"/>
            <rFont val="Tahoma"/>
            <family val="2"/>
          </rPr>
          <t>Rummukainen Miika:</t>
        </r>
        <r>
          <rPr>
            <sz val="9"/>
            <color indexed="81"/>
            <rFont val="Tahoma"/>
            <family val="2"/>
          </rPr>
          <t xml:space="preserve">
MLP voidaan mitoittaa 95-97% huipputehon tarpeesta,
IVLP voidaan mitoittaa 75% huipputehon tarpeesta.</t>
        </r>
      </text>
    </comment>
    <comment ref="D75" authorId="0" shapeId="0" xr:uid="{3EB861E0-9F99-482A-A3A0-E75907994CEB}">
      <text>
        <r>
          <rPr>
            <b/>
            <sz val="9"/>
            <color indexed="81"/>
            <rFont val="Tahoma"/>
            <family val="2"/>
          </rPr>
          <t>Rummukainen Miika:</t>
        </r>
        <r>
          <rPr>
            <sz val="9"/>
            <color indexed="81"/>
            <rFont val="Tahoma"/>
            <family val="2"/>
          </rPr>
          <t xml:space="preserve">
Jos 
1* vero.fi kotitalousvähennys:
=D19-JOS(D19*D20&gt;2250;2250;D19*D20+100)-D2119*D20-D21
2* ara.fi energia-avustus:
hlöasiakkaat=D19-JOS(D19*D20&gt;4000;4000;D19*D20)-D21
tayt=D19-JOS(D14*4000&gt;0,5*D19;0,5*D19;D14*4000)
3* Business Finland
=D19-D19*D20</t>
        </r>
      </text>
    </comment>
    <comment ref="D78" authorId="0" shapeId="0" xr:uid="{3DA311EA-6408-4B92-A839-E915884605F7}">
      <text>
        <r>
          <rPr>
            <b/>
            <sz val="9"/>
            <color indexed="81"/>
            <rFont val="Tahoma"/>
            <family val="2"/>
          </rPr>
          <t>Rummukainen Miika:</t>
        </r>
        <r>
          <rPr>
            <sz val="9"/>
            <color indexed="81"/>
            <rFont val="Tahoma"/>
            <family val="2"/>
          </rPr>
          <t xml:space="preserve">
Kun järjestelmän mitoitus osittainen koko.
Huom. Tarkista millä muu lämpö toteutetan!</t>
        </r>
      </text>
    </comment>
    <comment ref="D79" authorId="0" shapeId="0" xr:uid="{60DC39CD-5FD8-406C-B018-E3EEE94E0FFA}">
      <text>
        <r>
          <rPr>
            <b/>
            <sz val="9"/>
            <color indexed="81"/>
            <rFont val="Tahoma"/>
            <family val="2"/>
          </rPr>
          <t>Rummukainen Miika:</t>
        </r>
        <r>
          <rPr>
            <sz val="9"/>
            <color indexed="81"/>
            <rFont val="Tahoma"/>
            <family val="2"/>
          </rPr>
          <t xml:space="preserve">
Esim. lämpöpumpun kuluttama sähkö elinkaaren aikana.
</t>
        </r>
      </text>
    </comment>
    <comment ref="D82" authorId="1" shapeId="0" xr:uid="{6C70243D-82A7-403C-8DCE-33BC81BB04F0}">
      <text>
        <r>
          <rPr>
            <sz val="12"/>
            <color rgb="FF000000"/>
            <rFont val="Calibri"/>
            <family val="2"/>
          </rPr>
          <t>Investoinnin sisäinen korkokanta saadaan säätämällä korkokanta niin että tämä luku on nolla.
 -Jouni Juntunen</t>
        </r>
      </text>
    </comment>
    <comment ref="D83" authorId="0" shapeId="0" xr:uid="{917CE387-3FE1-46C2-80F2-AF2FAA7E3B01}">
      <text>
        <r>
          <rPr>
            <b/>
            <sz val="9"/>
            <color indexed="81"/>
            <rFont val="Tahoma"/>
            <family val="2"/>
          </rPr>
          <t>Rummukainen Miika:</t>
        </r>
        <r>
          <rPr>
            <sz val="9"/>
            <color indexed="81"/>
            <rFont val="Tahoma"/>
            <family val="2"/>
          </rPr>
          <t xml:space="preserve">
Tyypillisesti luokkaa 6-7 vuotta. Sulpu 8,5 vuotta</t>
        </r>
      </text>
    </comment>
    <comment ref="D85" authorId="1" shapeId="0" xr:uid="{D67DF680-6A85-44FC-8A47-8428414CB30E}">
      <text>
        <r>
          <rPr>
            <sz val="12"/>
            <color rgb="FF000000"/>
            <rFont val="Calibri"/>
            <family val="2"/>
          </rPr>
          <t>Investointiin sidotun pääoman tuotto (tai tuotto-odotus).
Tuottoprosentti, kun tarkastellaan investointia käyttöiän jaksolla.
Lisätietoja:
http://users.metropolia.fi/~mikalem/investointilaskenta/5.%20Investoinnit_Sisainen_korkokanta_ROI_190913.pdf</t>
        </r>
      </text>
    </comment>
    <comment ref="D89" authorId="0" shapeId="0" xr:uid="{D4559FF5-60DE-4229-AC60-92CBB8949224}">
      <text>
        <r>
          <rPr>
            <b/>
            <sz val="9"/>
            <color indexed="81"/>
            <rFont val="Tahoma"/>
            <family val="2"/>
          </rPr>
          <t>Rummukainen Miika:</t>
        </r>
        <r>
          <rPr>
            <sz val="9"/>
            <color indexed="81"/>
            <rFont val="Tahoma"/>
            <family val="2"/>
          </rPr>
          <t xml:space="preserve">
Suomen keskimääräinen ostosähkö. Tarkista omalta energiatoimittajalta!</t>
        </r>
      </text>
    </comment>
    <comment ref="D90" authorId="0" shapeId="0" xr:uid="{463C7AFF-486E-43D6-BA6C-C28155342AE7}">
      <text>
        <r>
          <rPr>
            <b/>
            <sz val="9"/>
            <color indexed="81"/>
            <rFont val="Tahoma"/>
            <family val="2"/>
          </rPr>
          <t>Rummukainen Miika:</t>
        </r>
        <r>
          <rPr>
            <sz val="9"/>
            <color indexed="81"/>
            <rFont val="Tahoma"/>
            <family val="2"/>
          </rPr>
          <t xml:space="preserve">
Kaukolämmön yhteistuotanto. Tarkista omalta energiatoimittajalta!</t>
        </r>
      </text>
    </comment>
    <comment ref="D91" authorId="0" shapeId="0" xr:uid="{456CC7FC-4D6C-439E-BC89-C96EAFC3571A}">
      <text>
        <r>
          <rPr>
            <b/>
            <sz val="9"/>
            <color indexed="81"/>
            <rFont val="Tahoma"/>
            <family val="2"/>
          </rPr>
          <t>Rummukainen Miika:</t>
        </r>
        <r>
          <rPr>
            <sz val="9"/>
            <color indexed="81"/>
            <rFont val="Tahoma"/>
            <family val="2"/>
          </rPr>
          <t xml:space="preserve">
Kevyt polttoöljy,
lämpöarvo 11,85 kWh/l</t>
        </r>
      </text>
    </comment>
    <comment ref="D92" authorId="0" shapeId="0" xr:uid="{9E47D571-AECF-4F82-B3E9-2F0310B8AA1F}">
      <text>
        <r>
          <rPr>
            <b/>
            <sz val="9"/>
            <color indexed="81"/>
            <rFont val="Tahoma"/>
            <family val="2"/>
          </rPr>
          <t>Rummukainen Miika:</t>
        </r>
        <r>
          <rPr>
            <sz val="9"/>
            <color indexed="81"/>
            <rFont val="Tahoma"/>
            <family val="2"/>
          </rPr>
          <t xml:space="preserve">
Säästetty energiamäärä x päästökerroin</t>
        </r>
      </text>
    </comment>
    <comment ref="D93" authorId="0" shapeId="0" xr:uid="{ABC50F42-1A71-41B6-8F57-05F457072495}">
      <text>
        <r>
          <rPr>
            <b/>
            <sz val="9"/>
            <color indexed="81"/>
            <rFont val="Tahoma"/>
            <family val="2"/>
          </rPr>
          <t>Rummukainen Miika:</t>
        </r>
        <r>
          <rPr>
            <sz val="9"/>
            <color indexed="81"/>
            <rFont val="Tahoma"/>
            <family val="2"/>
          </rPr>
          <t xml:space="preserve">
Säästetty energiamäärä x päästökerroin</t>
        </r>
      </text>
    </comment>
    <comment ref="D97" authorId="0" shapeId="0" xr:uid="{F348648B-7885-4014-91E7-0DE9DF1F6B51}">
      <text>
        <r>
          <rPr>
            <b/>
            <sz val="9"/>
            <color indexed="81"/>
            <rFont val="Tahoma"/>
            <family val="2"/>
          </rPr>
          <t>Rummukainen Miika:</t>
        </r>
        <r>
          <rPr>
            <sz val="9"/>
            <color indexed="81"/>
            <rFont val="Tahoma"/>
            <family val="2"/>
          </rPr>
          <t xml:space="preserve">
Jota lämpöpumppuenergia korvaa tai täydentää
</t>
        </r>
      </text>
    </comment>
    <comment ref="E97" authorId="0" shapeId="0" xr:uid="{72897493-7014-498C-BF3A-BC18A1E1BCB7}">
      <text>
        <r>
          <rPr>
            <b/>
            <sz val="9"/>
            <color indexed="81"/>
            <rFont val="Tahoma"/>
            <family val="2"/>
          </rPr>
          <t>Rummukainen Miika:</t>
        </r>
        <r>
          <rPr>
            <sz val="9"/>
            <color indexed="81"/>
            <rFont val="Tahoma"/>
            <family val="2"/>
          </rPr>
          <t xml:space="preserve">
Jos ei hintaa, niin laita 0 €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F29" authorId="0" shapeId="0" xr:uid="{731BB0DF-11EA-4E98-B744-271EFB9B4285}">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3kW järjestelmässä asennusosuus tyypillisesti 1500-2000 € (vähennys luokkaa 500-700 €).
ARA energia-avustus:
Kun e-luvun parannusehto tai avustuksen saamisen taso täyttyy (esim. korjausten jälkeinen E-luku on enintään 0,56 (hlöasiakkaat!) / 0,64 (rivitalot) / 0,68 (kerrostalot) x rakentamisvuoden E-luku, enint. 4000 € per asunto), niin e 
 Business Finland energiatuki https://www.businessfinland.fi/energiatuki/ : 
Energiatukea eivät saa: asunto-osakeyhtiöt, asuinkiinteistöt, maatilat, ...
Lämpöpumppuhankkeet * 15 %
Aurinkosähköhankkeet 1.5.2019 alkaen 20 %
Uuden teknologian hankkeet enintään 40%</t>
        </r>
      </text>
    </comment>
    <comment ref="F33" authorId="0" shapeId="0" xr:uid="{F6FBD2D4-4C02-43CA-A831-927187EB73E6}">
      <text>
        <r>
          <rPr>
            <b/>
            <sz val="9"/>
            <color indexed="81"/>
            <rFont val="Tahoma"/>
            <family val="2"/>
          </rPr>
          <t>Rummukainen Miika:</t>
        </r>
        <r>
          <rPr>
            <sz val="9"/>
            <color indexed="81"/>
            <rFont val="Tahoma"/>
            <family val="2"/>
          </rPr>
          <t xml:space="preserve">
Max. Laina-aika 20 vuotta.
</t>
        </r>
      </text>
    </comment>
    <comment ref="Q43" authorId="1" shapeId="0" xr:uid="{C2D4A805-23B9-48D2-ACAE-1CC2A1047524}">
      <text>
        <r>
          <rPr>
            <sz val="12"/>
            <color rgb="FF000000"/>
            <rFont val="Calibri"/>
            <family val="2"/>
          </rPr>
          <t xml:space="preserve">Taulukko laskee investoinnin nettonykyarvoja kullekin vuodelle perustuen siihen mennessä toteutuneisiin tulo-  ja menovirtoihin. Kun väri vaihtuu punaisesta vihreäksi, on investointi maksanut itsensä takaisin. Sen jälkeen vihreän väriset arvot kuvaavat investoinnista saatavaa positiivista tuottoa.
Järjestelmän eliniän lopussa eli 30 vuoden kohdalla oleva arvo kertoo koko investoinnin nettonykyarvon. Jos se on positiivinen eli vihreä, on investointi kannattava.
</t>
        </r>
      </text>
    </comment>
    <comment ref="J59" authorId="0" shapeId="0" xr:uid="{422ABD9E-4DB5-420C-AC33-4218B611F523}">
      <text>
        <r>
          <rPr>
            <b/>
            <sz val="9"/>
            <color indexed="81"/>
            <rFont val="Tahoma"/>
            <family val="2"/>
          </rPr>
          <t>Rummukainen Miika:</t>
        </r>
        <r>
          <rPr>
            <sz val="9"/>
            <color indexed="81"/>
            <rFont val="Tahoma"/>
            <family val="2"/>
          </rPr>
          <t xml:space="preserve">
Invertterin vaihto</t>
        </r>
      </text>
    </comment>
    <comment ref="R75" authorId="1" shapeId="0" xr:uid="{6B52A2F2-3171-49DC-AE94-9D259C1E4A64}">
      <text>
        <r>
          <rPr>
            <sz val="12"/>
            <color rgb="FF000000"/>
            <rFont val="Calibri"/>
            <family val="2"/>
          </rPr>
          <t xml:space="preserve">Takaisinmaksuaika
</t>
        </r>
      </text>
    </comment>
    <comment ref="E80" authorId="0" shapeId="0" xr:uid="{446E4163-EDF0-424A-95D0-E08EECCAC6DA}">
      <text>
        <r>
          <rPr>
            <b/>
            <sz val="9"/>
            <color indexed="81"/>
            <rFont val="Tahoma"/>
            <family val="2"/>
          </rPr>
          <t>Rummukainen Miika:</t>
        </r>
        <r>
          <rPr>
            <sz val="9"/>
            <color indexed="81"/>
            <rFont val="Tahoma"/>
            <family val="2"/>
          </rPr>
          <t xml:space="preserve">
Investointiin sidotun pääoman tuotto (tai tuotto-odotus).
Tuottoprosentti, kun tarkastellaan investointia käyttöiän jaksolla.</t>
        </r>
      </text>
    </comment>
    <comment ref="D87" authorId="0" shapeId="0" xr:uid="{625C05ED-B9B7-4279-912E-809C7B5867ED}">
      <text>
        <r>
          <rPr>
            <b/>
            <sz val="9"/>
            <color indexed="81"/>
            <rFont val="Tahoma"/>
            <family val="2"/>
          </rPr>
          <t>Rummukainen Miika:</t>
        </r>
        <r>
          <rPr>
            <sz val="9"/>
            <color indexed="81"/>
            <rFont val="Tahoma"/>
            <family val="2"/>
          </rPr>
          <t xml:space="preserve">
Suomen keskimääräinen ostosähkö</t>
        </r>
      </text>
    </comment>
    <comment ref="D88" authorId="0" shapeId="0" xr:uid="{6FCA78B1-4B0F-424D-ADEA-DF326CDC5963}">
      <text>
        <r>
          <rPr>
            <b/>
            <sz val="9"/>
            <color indexed="81"/>
            <rFont val="Tahoma"/>
            <family val="2"/>
          </rPr>
          <t>Rummukainen Miika:</t>
        </r>
        <r>
          <rPr>
            <sz val="9"/>
            <color indexed="81"/>
            <rFont val="Tahoma"/>
            <family val="2"/>
          </rPr>
          <t xml:space="preserve">
Kaukolämmön yhteistuotanto. Tarkista omalta energiatoimittajalta!</t>
        </r>
      </text>
    </comment>
    <comment ref="D89" authorId="0" shapeId="0" xr:uid="{824D702C-C272-470D-A625-D3D1FF82B19B}">
      <text>
        <r>
          <rPr>
            <b/>
            <sz val="9"/>
            <color indexed="81"/>
            <rFont val="Tahoma"/>
            <family val="2"/>
          </rPr>
          <t>Rummukainen Miika:</t>
        </r>
        <r>
          <rPr>
            <sz val="9"/>
            <color indexed="81"/>
            <rFont val="Tahoma"/>
            <family val="2"/>
          </rPr>
          <t xml:space="preserve">
Kevyt polttoöljy,
lämpöarvo 11,85 kWh/l</t>
        </r>
      </text>
    </comment>
    <comment ref="D90" authorId="0" shapeId="0" xr:uid="{A386EA75-05EF-4927-A619-38E34FECE762}">
      <text>
        <r>
          <rPr>
            <b/>
            <sz val="9"/>
            <color indexed="81"/>
            <rFont val="Tahoma"/>
            <family val="2"/>
          </rPr>
          <t>Rummukainen Miika:</t>
        </r>
        <r>
          <rPr>
            <sz val="9"/>
            <color indexed="81"/>
            <rFont val="Tahoma"/>
            <family val="2"/>
          </rPr>
          <t xml:space="preserve">
Säästetty energiamäärä x päästökerroin</t>
        </r>
      </text>
    </comment>
    <comment ref="D91" authorId="0" shapeId="0" xr:uid="{72EFD686-A0FF-4E32-8ED1-0267A601A931}">
      <text>
        <r>
          <rPr>
            <b/>
            <sz val="9"/>
            <color indexed="81"/>
            <rFont val="Tahoma"/>
            <family val="2"/>
          </rPr>
          <t>Rummukainen Miika:</t>
        </r>
        <r>
          <rPr>
            <sz val="9"/>
            <color indexed="81"/>
            <rFont val="Tahoma"/>
            <family val="2"/>
          </rPr>
          <t xml:space="preserve">
Säästetty energiamäärä x päästökerroin</t>
        </r>
      </text>
    </comment>
    <comment ref="D101" authorId="1" shapeId="0" xr:uid="{03F43411-24BC-45D7-91C7-DB18100EB709}">
      <text>
        <r>
          <rPr>
            <sz val="12"/>
            <color rgb="FF000000"/>
            <rFont val="Calibri"/>
            <family val="2"/>
          </rPr>
          <t>Paikkakohtaiset tiedot PVGIS-järjestelmästä http://re.jrc.ec.europa.eu/pvgis/apps4/pvest.php tai Solar Electricity handbookista http://solarelectricityhandbook.com/solar-irradiance.html</t>
        </r>
      </text>
    </comment>
    <comment ref="H101" authorId="1" shapeId="0" xr:uid="{0C464E2C-DA40-4DC5-BD92-94B86CF8C733}">
      <text>
        <r>
          <rPr>
            <sz val="12"/>
            <color rgb="FF000000"/>
            <rFont val="Calibri"/>
            <family val="2"/>
          </rPr>
          <t xml:space="preserve">Huomaa, että aurinkosähköä tulee vain valoisalla eikä pimeällä. Näin ollen omaan käyttöön saa todellisuudessa vain sen aurinkosähkön, jonka pystyy itse kuluttamaan valoisaan aikaan. Tämä karkea suuntaa-antava laskuri olettaa, että kaiken aurinkosähkön saa hyödynnettyä itse kunhan vain tuotanto alittaa oman kulutuksen. Tämä ei luonnollisestikaan pidä paikkaansa, vaan optimaalisessa mitoituksessa tulee huomioda vuorokausikohtainen sähkön tuotannon ja kulutuksen suhde.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F29" authorId="0" shapeId="0" xr:uid="{37E8F291-0101-4828-9430-015DAC5CDA81}">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3kW järjestelmässä asennusosuus tyypillisesti 1500-2000 € (vähennys luokkaa 500-700 €).
ARA energia-avustus:
Kun e-luvun parannusehto tai avustuksen saamisen taso täyttyy (esim. korjausten jälkeinen E-luku on enintään 0,56 (hlöasiakkaat!) / 0,64 (rivitalot) / 0,68 (kerrostalot) x rakentamisvuoden E-luku, enint. 4000 € per asunto), niin e 
 Business Finland energiatuki https://www.businessfinland.fi/energiatuki/ : 
Energiatukea eivät saa: asunto-osakeyhtiöt, asuinkiinteistöt, maatilat, ...
Lämpöpumppuhankkeet * 15 %
Aurinkosähköhankkeet 1.5.2019 alkaen 20 %
Uuden teknologian hankkeet enintään 40%</t>
        </r>
      </text>
    </comment>
    <comment ref="F33" authorId="0" shapeId="0" xr:uid="{D6F09BC8-FF32-4E7B-99C2-4507312EFF81}">
      <text>
        <r>
          <rPr>
            <b/>
            <sz val="9"/>
            <color indexed="81"/>
            <rFont val="Tahoma"/>
            <family val="2"/>
          </rPr>
          <t>Rummukainen Miika:</t>
        </r>
        <r>
          <rPr>
            <sz val="9"/>
            <color indexed="81"/>
            <rFont val="Tahoma"/>
            <family val="2"/>
          </rPr>
          <t xml:space="preserve">
Max. Laina-aika 20 vuotta.
</t>
        </r>
      </text>
    </comment>
    <comment ref="Q43" authorId="1" shapeId="0" xr:uid="{88EA4D6A-E970-4186-B33A-5EDC9B6A54EF}">
      <text>
        <r>
          <rPr>
            <sz val="12"/>
            <color rgb="FF000000"/>
            <rFont val="Calibri"/>
            <family val="2"/>
          </rPr>
          <t xml:space="preserve">Taulukko laskee investoinnin nettonykyarvoja kullekin vuodelle perustuen siihen mennessä toteutuneisiin tulo-  ja menovirtoihin. Kun väri vaihtuu punaisesta vihreäksi, on investointi maksanut itsensä takaisin. Sen jälkeen vihreän väriset arvot kuvaavat investoinnista saatavaa positiivista tuottoa.
Järjestelmän eliniän lopussa eli 30 vuoden kohdalla oleva arvo kertoo koko investoinnin nettonykyarvon. Jos se on positiivinen eli vihreä, on investointi kannattava.
</t>
        </r>
      </text>
    </comment>
    <comment ref="J59" authorId="0" shapeId="0" xr:uid="{D3BE0CC6-8698-41CF-AA44-80C650A3F40A}">
      <text>
        <r>
          <rPr>
            <b/>
            <sz val="9"/>
            <color indexed="81"/>
            <rFont val="Tahoma"/>
            <family val="2"/>
          </rPr>
          <t>Rummukainen Miika:</t>
        </r>
        <r>
          <rPr>
            <sz val="9"/>
            <color indexed="81"/>
            <rFont val="Tahoma"/>
            <family val="2"/>
          </rPr>
          <t xml:space="preserve">
Invertterin vaihto</t>
        </r>
      </text>
    </comment>
    <comment ref="R75" authorId="1" shapeId="0" xr:uid="{FFD959E8-6768-4825-9423-7A05825CF007}">
      <text>
        <r>
          <rPr>
            <sz val="12"/>
            <color rgb="FF000000"/>
            <rFont val="Calibri"/>
            <family val="2"/>
          </rPr>
          <t xml:space="preserve">Takaisinmaksuaika
</t>
        </r>
      </text>
    </comment>
    <comment ref="E80" authorId="0" shapeId="0" xr:uid="{00D51EDD-E73A-497D-8D68-3298CBAFE09C}">
      <text>
        <r>
          <rPr>
            <b/>
            <sz val="9"/>
            <color indexed="81"/>
            <rFont val="Tahoma"/>
            <family val="2"/>
          </rPr>
          <t>Rummukainen Miika:</t>
        </r>
        <r>
          <rPr>
            <sz val="9"/>
            <color indexed="81"/>
            <rFont val="Tahoma"/>
            <family val="2"/>
          </rPr>
          <t xml:space="preserve">
Investointiin sidotun pääoman tuotto (tai tuotto-odotus).
Tuottoprosentti, kun tarkastellaan investointia käyttöiän jaksolla.</t>
        </r>
      </text>
    </comment>
    <comment ref="D87" authorId="0" shapeId="0" xr:uid="{FE9BF8E2-31FB-4F84-A98E-7F0C4191A588}">
      <text>
        <r>
          <rPr>
            <b/>
            <sz val="9"/>
            <color indexed="81"/>
            <rFont val="Tahoma"/>
            <family val="2"/>
          </rPr>
          <t>Rummukainen Miika:</t>
        </r>
        <r>
          <rPr>
            <sz val="9"/>
            <color indexed="81"/>
            <rFont val="Tahoma"/>
            <family val="2"/>
          </rPr>
          <t xml:space="preserve">
Suomen keskimääräinen ostosähkö</t>
        </r>
      </text>
    </comment>
    <comment ref="D88" authorId="0" shapeId="0" xr:uid="{B05558B0-D5A8-41BC-9559-697200FBDA73}">
      <text>
        <r>
          <rPr>
            <b/>
            <sz val="9"/>
            <color indexed="81"/>
            <rFont val="Tahoma"/>
            <family val="2"/>
          </rPr>
          <t>Rummukainen Miika:</t>
        </r>
        <r>
          <rPr>
            <sz val="9"/>
            <color indexed="81"/>
            <rFont val="Tahoma"/>
            <family val="2"/>
          </rPr>
          <t xml:space="preserve">
Kaukolämmön yhteistuotanto. Tarkista omalta energiatoimittajalta!</t>
        </r>
      </text>
    </comment>
    <comment ref="D89" authorId="0" shapeId="0" xr:uid="{B7FBAD4D-D03E-441F-9DEC-71F6B42F6B95}">
      <text>
        <r>
          <rPr>
            <b/>
            <sz val="9"/>
            <color indexed="81"/>
            <rFont val="Tahoma"/>
            <family val="2"/>
          </rPr>
          <t>Rummukainen Miika:</t>
        </r>
        <r>
          <rPr>
            <sz val="9"/>
            <color indexed="81"/>
            <rFont val="Tahoma"/>
            <family val="2"/>
          </rPr>
          <t xml:space="preserve">
Kevyt polttoöljy,
lämpöarvo 11,85 kWh/l</t>
        </r>
      </text>
    </comment>
    <comment ref="D90" authorId="0" shapeId="0" xr:uid="{DF879162-318C-4384-8908-212408EBCCA7}">
      <text>
        <r>
          <rPr>
            <b/>
            <sz val="9"/>
            <color indexed="81"/>
            <rFont val="Tahoma"/>
            <family val="2"/>
          </rPr>
          <t>Rummukainen Miika:</t>
        </r>
        <r>
          <rPr>
            <sz val="9"/>
            <color indexed="81"/>
            <rFont val="Tahoma"/>
            <family val="2"/>
          </rPr>
          <t xml:space="preserve">
Säästetty energiamäärä x päästökerroin</t>
        </r>
      </text>
    </comment>
    <comment ref="D91" authorId="0" shapeId="0" xr:uid="{52BE3115-8070-433F-BD49-045377BA29E7}">
      <text>
        <r>
          <rPr>
            <b/>
            <sz val="9"/>
            <color indexed="81"/>
            <rFont val="Tahoma"/>
            <family val="2"/>
          </rPr>
          <t>Rummukainen Miika:</t>
        </r>
        <r>
          <rPr>
            <sz val="9"/>
            <color indexed="81"/>
            <rFont val="Tahoma"/>
            <family val="2"/>
          </rPr>
          <t xml:space="preserve">
Säästetty energiamäärä x päästökerroin</t>
        </r>
      </text>
    </comment>
    <comment ref="D101" authorId="1" shapeId="0" xr:uid="{4EBA7361-4FDE-4081-A061-D050D5E7BBD2}">
      <text>
        <r>
          <rPr>
            <sz val="12"/>
            <color rgb="FF000000"/>
            <rFont val="Calibri"/>
            <family val="2"/>
          </rPr>
          <t>Paikkakohtaiset tiedot PVGIS-järjestelmästä http://re.jrc.ec.europa.eu/pvgis/apps4/pvest.php tai Solar Electricity handbookista http://solarelectricityhandbook.com/solar-irradiance.html</t>
        </r>
      </text>
    </comment>
    <comment ref="H101" authorId="1" shapeId="0" xr:uid="{B6671C57-D449-492E-8063-D93FE009C046}">
      <text>
        <r>
          <rPr>
            <sz val="12"/>
            <color rgb="FF000000"/>
            <rFont val="Calibri"/>
            <family val="2"/>
          </rPr>
          <t xml:space="preserve">Huomaa, että aurinkosähköä tulee vain valoisalla eikä pimeällä. Näin ollen omaan käyttöön saa todellisuudessa vain sen aurinkosähkön, jonka pystyy itse kuluttamaan valoisaan aikaan. Tämä karkea suuntaa-antava laskuri olettaa, että kaiken aurinkosähkön saa hyödynnettyä itse kunhan vain tuotanto alittaa oman kulutuksen. Tämä ei luonnollisestikaan pidä paikkaansa, vaan optimaalisessa mitoituksessa tulee huomioda vuorokausikohtainen sähkön tuotannon ja kulutuksen suhde.
</t>
        </r>
      </text>
    </comment>
  </commentList>
</comments>
</file>

<file path=xl/sharedStrings.xml><?xml version="1.0" encoding="utf-8"?>
<sst xmlns="http://schemas.openxmlformats.org/spreadsheetml/2006/main" count="791" uniqueCount="281">
  <si>
    <t>Aurinkosähköjärjestelmän kannattavuuden laskemiseksi täytä lähtötiedot punaisiin soluihin, jotka ovat välttämättömiä lähtötietoja:</t>
  </si>
  <si>
    <t>Tarkempien ja luotettavampien laskelmien laatimiseksi täytä tiedot myös sinisiin soluihin:</t>
  </si>
  <si>
    <t>Sähköenergian ostohinta</t>
  </si>
  <si>
    <t>snt/kWh</t>
  </si>
  <si>
    <t xml:space="preserve"> </t>
  </si>
  <si>
    <t>Sähkövero ja huoltovarmuusmaksu</t>
  </si>
  <si>
    <t>Lähde:</t>
  </si>
  <si>
    <t>Ostosähkön arvonlisävero</t>
  </si>
  <si>
    <t>%</t>
  </si>
  <si>
    <t>www.energia.fi</t>
  </si>
  <si>
    <t>kWh/v</t>
  </si>
  <si>
    <t xml:space="preserve">Aurinkosähköjärjestelmän koko tehona Wp </t>
  </si>
  <si>
    <t>kWp</t>
  </si>
  <si>
    <t>Välitulos: järjestelmän koko paneelien pinta-alana noin m2</t>
  </si>
  <si>
    <t>neliömetriä</t>
  </si>
  <si>
    <t>euroa</t>
  </si>
  <si>
    <t xml:space="preserve">Välitulos: Järjestelmän vertailuhinta ilman tukia </t>
  </si>
  <si>
    <t>euroa/kWp</t>
  </si>
  <si>
    <t>www.vero.fi</t>
  </si>
  <si>
    <t>www.businessfinland.fi</t>
  </si>
  <si>
    <t>www.ara.fi</t>
  </si>
  <si>
    <t>Oma mainos-, brändi- tai ympäristötuki investoinnille €</t>
  </si>
  <si>
    <t xml:space="preserve">Välitulos: Järjestelmän investointikustannus sisältäen mahdolliset tuet € </t>
  </si>
  <si>
    <t>Investoinnin tuottovaatimus</t>
  </si>
  <si>
    <t>Invertterin vaihdon kustannus, osuus alkuinvestoinnista. Oletettu tapahtuvan kerran aurinkosähköjärjestelmän elinaikana 15. vuotena.</t>
  </si>
  <si>
    <t>kWh/kWp</t>
  </si>
  <si>
    <t>Lähde: Suomen säteilykartta. Saatavissa: http://re.jrc.ec.europa.eu/pvgis/cmaps/eu_cmsaf_opt/G_opt_FI.pdf</t>
  </si>
  <si>
    <t>kWh</t>
  </si>
  <si>
    <t>Aurinkovoimalan vuosittainen sähköntuotannon vähenemä %/v</t>
  </si>
  <si>
    <t>Lähde: Wirth Harry. Recent Facts about Photovoltaics in Germany. 2015. Fraunhofer Institute for Solar Energy Systems ISE. Saatavissa: https://www.ise.fraunhofer.de/en/publications/veroeffentlichungen-pdf-dateien-en/studien-und-konzeptpapiere/recent-facts-about-photovoltaics-in-germany.pdf</t>
  </si>
  <si>
    <t>Järjestelmän elinikä vuosina</t>
  </si>
  <si>
    <t>Kassavirta €/v</t>
  </si>
  <si>
    <t>Investoinnin kumulatiivinen tuotto €/v (0% korko)</t>
  </si>
  <si>
    <t>Investoinnin nettonykyarvoja (NPV) valitulla laskentakorolla</t>
  </si>
  <si>
    <t>YHTEENSÄ</t>
  </si>
  <si>
    <r>
      <rPr>
        <b/>
        <sz val="12"/>
        <color rgb="FF000000"/>
        <rFont val="Calibri"/>
        <family val="2"/>
      </rPr>
      <t>Yhteenveto</t>
    </r>
    <r>
      <rPr>
        <b/>
        <sz val="12"/>
        <color rgb="FF000000"/>
        <rFont val="Calibri"/>
        <family val="2"/>
      </rPr>
      <t>: investoinnin tuotto- ja kannattavuuslaskelmat</t>
    </r>
  </si>
  <si>
    <t>Takaisinmaksuaika laskentakorolla</t>
  </si>
  <si>
    <t>vuotta</t>
  </si>
  <si>
    <t>Investoinnin sisäinen korkokanta käyttöiän aikana</t>
  </si>
  <si>
    <t>Vertaa:</t>
  </si>
  <si>
    <t>Aurinkosähkön omakustannushinta 30 vuoden pitoajalla</t>
  </si>
  <si>
    <t xml:space="preserve">Arvioitu ostosähkön keskimääräinen hinta 30 vuoden aikana </t>
  </si>
  <si>
    <t xml:space="preserve">snt/kWh </t>
  </si>
  <si>
    <t>Aurinkosähkön käyttö</t>
  </si>
  <si>
    <t xml:space="preserve">Skenaariot: </t>
  </si>
  <si>
    <t>omaan kulutukseen</t>
  </si>
  <si>
    <t>Lämpöpumppujärjestelmän kannattavuuden laskemiseksi ja mitoittamiseksi tarkista ja täytä lähtötiedot punaisiin soluihin, jotka ovat välttämättömiä lähtötietoja:</t>
  </si>
  <si>
    <t>€/MWh</t>
  </si>
  <si>
    <t>Investointituki, % alkuinvestoinnista</t>
  </si>
  <si>
    <t>Oma kiinteistöarvo-, brändi- tai ympäristötuki investoinnille</t>
  </si>
  <si>
    <t>Tarkista ja täytä lähtötiedot punaisiin soluihin!</t>
  </si>
  <si>
    <t>Järjestelmän mitoittamiseksi täytä tarkemmat tiedot sinisiin soluihin!</t>
  </si>
  <si>
    <t>Täytä kohteen kk-kohtainen lämmön-kulutus kWh</t>
  </si>
  <si>
    <t>Lämmön-lähteen hinta €/MWh</t>
  </si>
  <si>
    <t>Ylijäämä-lämmön myyntihinta €/MWh</t>
  </si>
  <si>
    <t>Lämpö-pumpun tuotanto kWh</t>
  </si>
  <si>
    <t>Lämmön ylijäämä tai myyntiin menevä määrä kWh</t>
  </si>
  <si>
    <t>Lämpöä omaan käyttöön kWh</t>
  </si>
  <si>
    <t>Lämmön oman käytön arvo €</t>
  </si>
  <si>
    <t>Lämmön myynti-tulot tai ylijäämän arvo €</t>
  </si>
  <si>
    <t>Muun lämmön osto- tai tuotantotarve kWh</t>
  </si>
  <si>
    <t>Muun sähkön osto-tai tuotantotarve kWh /COP</t>
  </si>
  <si>
    <t>Tammikuu</t>
  </si>
  <si>
    <t>Helmikuu</t>
  </si>
  <si>
    <t>Maaliskuu</t>
  </si>
  <si>
    <t>Huhtikuu</t>
  </si>
  <si>
    <t>Toukokuu</t>
  </si>
  <si>
    <t>Kesäkuu</t>
  </si>
  <si>
    <t>Heinäkuu</t>
  </si>
  <si>
    <t>Elokuu</t>
  </si>
  <si>
    <t>Syyskuu</t>
  </si>
  <si>
    <t>Lokakuu</t>
  </si>
  <si>
    <t>Marraskuu</t>
  </si>
  <si>
    <t>Joulukuu</t>
  </si>
  <si>
    <t>YHTEENSÄ VUODESSA</t>
  </si>
  <si>
    <t>VUODESSA KESKIMÄÄRIN</t>
  </si>
  <si>
    <t>Oletusarvoja ja välituloksia:</t>
  </si>
  <si>
    <t>Uuden lämpöjärjestelmän vuosituotto</t>
  </si>
  <si>
    <t>Järjestelmän hyötysuhde</t>
  </si>
  <si>
    <t xml:space="preserve">  </t>
  </si>
  <si>
    <t>Lämmön myynnin tai ylijäämän osuus % vuodessa</t>
  </si>
  <si>
    <t>Kiinteistön lämmmönkulutus yhteensä vuodessa</t>
  </si>
  <si>
    <t xml:space="preserve">kWh </t>
  </si>
  <si>
    <t>Lämpöpumppujärjestelmän vuosittainen energiantuotannon vähenemä %/v</t>
  </si>
  <si>
    <t>Investoinnin käyttöikä (elinkaari)</t>
  </si>
  <si>
    <t>v</t>
  </si>
  <si>
    <t>Lämpöpumppulämmön osuus lämmönkulutuksesta</t>
  </si>
  <si>
    <t>Muun sähkön ostotarve 20 vuoden elinkaaren aikana</t>
  </si>
  <si>
    <t>Kannattavuus</t>
  </si>
  <si>
    <t>Investoinnin nettonykyarvo eli kokonaistuotto tai -tappio käyttöiällä/elinkaari</t>
  </si>
  <si>
    <t xml:space="preserve">Takaisinmaksuaika </t>
  </si>
  <si>
    <t>Päästöarvot</t>
  </si>
  <si>
    <t>Korvattavan ostoenergian päästökerroin (sähkö)</t>
  </si>
  <si>
    <t>gCO2/kWh</t>
  </si>
  <si>
    <t>www.ilmastolaskuri.fi</t>
  </si>
  <si>
    <t>Korvattavan ostoenergian päästökerroin (kaukolämpö)</t>
  </si>
  <si>
    <t>Korvattavan ostoenergian päästökerroin (polttoöljy)</t>
  </si>
  <si>
    <t>Päästövähennys per vuosi</t>
  </si>
  <si>
    <t>kgCO2/v</t>
  </si>
  <si>
    <t>Lämmön tuotto- ja talouslaskelmat elinkaaren aikana</t>
  </si>
  <si>
    <t>Oman lämmöntuotannon arvo ja myyntituotot €</t>
  </si>
  <si>
    <t>Takaisinmaksu-aika (sis. laskentakorko)</t>
  </si>
  <si>
    <t>Vaihtoehtoisen lämmön hinta €/MWh</t>
  </si>
  <si>
    <t>Myyntiin menevän ylijäämälämmön hinta €/MWh</t>
  </si>
  <si>
    <t>Hyödynnettävissä oleva energian tuotanto kWh (käyttö+myynti)</t>
  </si>
  <si>
    <t>Uuden järjestelmän kumulatiivinen kulu</t>
  </si>
  <si>
    <t>Lämmön käyttö</t>
  </si>
  <si>
    <t>Takaisinmaksuaika (tarkennettu)</t>
  </si>
  <si>
    <t>Muun lämmön ostotarve 20 vuoden elinkaaren aikana</t>
  </si>
  <si>
    <t>[Kohteen] energiajärjestelmien taloudelliset kannattavuuslaskelmat</t>
  </si>
  <si>
    <t>Korvattavan energian kulutus kohteessa vuodessa</t>
  </si>
  <si>
    <t>Tiedot järjestelmän asennuskohteesta ja vertailukustannuksista:</t>
  </si>
  <si>
    <t>Tiedot hankittavasta järjestelmästä ja sen investointikustannuksista:</t>
  </si>
  <si>
    <t xml:space="preserve">Arvio ostoenergian hinnan noususta % per vuosi </t>
  </si>
  <si>
    <t>Lämpöpumppujärjestelmän koko MW / lämpökerroin / COP / SCOP</t>
  </si>
  <si>
    <t>Laina järjestelmän hankkimiseksi</t>
  </si>
  <si>
    <t>Laina-aika</t>
  </si>
  <si>
    <t>Lainan korkokulu</t>
  </si>
  <si>
    <t>Investoinnin laskentakorko, tuottovaatimus</t>
  </si>
  <si>
    <t>Energian oman käytön osuus</t>
  </si>
  <si>
    <t>Päästövähennys per vuosi huomioiden mahd. sähkönkulutuksen muutos</t>
  </si>
  <si>
    <t>Järjestelmän sähkönkulutuksen muutoksen hinta per vuosi</t>
  </si>
  <si>
    <t>Järjestelmän päästövähennys vuodessa, kgCO2/v</t>
  </si>
  <si>
    <t>Huom!</t>
  </si>
  <si>
    <t>Tervetuloa käyttämään laskuria!</t>
  </si>
  <si>
    <t>Laskuri on Suomen ympäristökeskuksen (SYKE) kehittämä työkalu uusiutuvan energian järjestelmien laskemiseen.</t>
  </si>
  <si>
    <t>Laskurin lähteenä on käytetty www.finsolar.net hankkeessa kehitettyjä työkaluja.</t>
  </si>
  <si>
    <t xml:space="preserve">Laskuri on jaettu eri välilehdille järjestelmätyypeittäin. Kussakin on ohjeita/muistiinpanoja/lähteitä välilehden täyttämiseksi. Välilehdellä "Kohteen järjes. kannattavuus" laskuri kokoaa yhteen tuloksia. </t>
  </si>
  <si>
    <t>Versio</t>
  </si>
  <si>
    <t>Päiväys</t>
  </si>
  <si>
    <t>Järjestelmän kannattavuuden laskemiseksi ja mitoittamiseksi välttämättömiä lähtötietoja, tarkista ja täytä lähtötiedot punaisiin soluihin.</t>
  </si>
  <si>
    <t>Uuden järjestelmän vuosituotanto</t>
  </si>
  <si>
    <t>Laskuri on muokattu vuoden 2020 alkupuolella SYKEn työntekijöiden, Miika Rummukaisen ja Karoliina Auvisen toimesta SYKEn hankkeissa.</t>
  </si>
  <si>
    <t>[Kohteen tyyppitiedot]: Lähde:</t>
  </si>
  <si>
    <t>https://www.motiva.fi/files/17067/Pitkan_aikavalin_korjausrakentamisen_strategia_2020-2050.pdf</t>
  </si>
  <si>
    <t>Investoinnin nettonykyarvo eli kokonaistuotto tai -tappio käyttöiällä</t>
  </si>
  <si>
    <t>Sisäinen korkokanta käyttöiän aikana</t>
  </si>
  <si>
    <t>Kulutuksen korjaus huomioiden mahdollisen hyötysuhteen</t>
  </si>
  <si>
    <t>Korvattavan energian korjattu kulutus, esim öljylämmitys</t>
  </si>
  <si>
    <t>Yhtiövastikkeita maksavien asuntojen määrä (vain tayt)</t>
  </si>
  <si>
    <t>Muun lämmönkulutuksen hinta per vuosi</t>
  </si>
  <si>
    <t>Järjestelmän pitoaika vuosina</t>
  </si>
  <si>
    <t>Nykyjärjestelmän kustannukset: Energian hinta</t>
  </si>
  <si>
    <t>Nykyjärjestelmän kustannukset: Ylläpito- ja huolto</t>
  </si>
  <si>
    <t>Nykyjärjestelmän kustannukset: Yhteensä</t>
  </si>
  <si>
    <t>Investoinnin kertamaksu tai lainaerät</t>
  </si>
  <si>
    <t>Rahoituksen korkokulut €/v</t>
  </si>
  <si>
    <t>Lainasaldo</t>
  </si>
  <si>
    <t>Käsiraha, jos laina ei mitoitettu koko investoinnille</t>
  </si>
  <si>
    <t>Ylläpito- ja huoltokulut eur/v</t>
  </si>
  <si>
    <t>Uuden järjestelmän kustannukset: Yhteensä</t>
  </si>
  <si>
    <t>Nykyjärjestelmän kumulatiivinen kulu</t>
  </si>
  <si>
    <t>Hyödynnettävän lämpöpumppulämmön tuotantohinta elinkaaren ajalla</t>
  </si>
  <si>
    <t>Lisenssi: CC 4.0</t>
  </si>
  <si>
    <t>Tiedot kiinteistön ostosähkön kustannuksista (aurinkosähköjärjestelmän vertailukustannukset):</t>
  </si>
  <si>
    <t>Vinkki: katso hinta sähkölaskusta</t>
  </si>
  <si>
    <t>Energiaperusteinen sähkön siirtohinta</t>
  </si>
  <si>
    <t>Vinkki: katso hinta sähkön siirtolaskusta</t>
  </si>
  <si>
    <t>Lähde:https://www.vero.fi/yritykset-ja-yhteisot/tietoa-yritysverotuksesta/valmisteverotus/sahko_ja_eraat_polttoaineet/sahkon_ja_eraiden_polttoaineiden_verota/</t>
  </si>
  <si>
    <t>Välitulos: aurinkosähkön vertailuhinta eli aurinkosähkön vaihtoehtoiskustannus</t>
  </si>
  <si>
    <t>Arvio ostosähkön hinnan noususta %/v</t>
  </si>
  <si>
    <t>/vuosi</t>
  </si>
  <si>
    <t>Lähde: https://energiavirasto.fi/sahkon-hintatilastot; http://www.stat.fi/til/ehi/2019/03/ehi_2019_03_2019-12-11_tie_001_fi.html</t>
  </si>
  <si>
    <t>Korvattavan energian kulutus kohteessa vuoddessa</t>
  </si>
  <si>
    <t>Tiedot hankittavasta aurinkosähköjärjestelmästä:</t>
  </si>
  <si>
    <t xml:space="preserve">Aurinkosähköjärjestelmän koko tehona kWp </t>
  </si>
  <si>
    <t>Aurinkosähkön vuosituotto järjestelmän sijainnin mukaan</t>
  </si>
  <si>
    <t>Välitulos: aurinkosähköjärjestelmän vuosituotto alussa</t>
  </si>
  <si>
    <t>Huom. Taloudellisesti kannattavan aurinkosähköjärjestelmän mitoituksessä on tärkeää, että ylijäämän osuus on mahdollisimman alhainen</t>
  </si>
  <si>
    <t>Aurinkosähkön ylijäämän myyntihinta verkkoon snt/kWh</t>
  </si>
  <si>
    <t>Yleensä välillä 2-6 snt/kWh riippuen sähköyhtiöstä</t>
  </si>
  <si>
    <t>Tiedot aurinkosähköjärjestelmän hankinta-, ylläpito- sekä rahoituskustannuksista:</t>
  </si>
  <si>
    <t>Aurinkosähköjärjestelmän avaimet käteen -investointikustannus € (laitteet ja asennus)</t>
  </si>
  <si>
    <t>Mahdollinen investointituki, kotitalousvähennys tms. alkuinvestoinnista, %</t>
  </si>
  <si>
    <t>Lainan tai ulkopuolisen rahoituksen määrä</t>
  </si>
  <si>
    <t>Laina-aika tai rahoitussopimuksen pituus</t>
  </si>
  <si>
    <t>Lainan tai rahoituksen korko</t>
  </si>
  <si>
    <t>Välitulos: Lainan tai ulkopuolisen rahoituksen maksuerät/vuosi</t>
  </si>
  <si>
    <t>euroa/vuotta</t>
  </si>
  <si>
    <t>Tuottovaatimus ei ole tässä tapauksessa relevantti, koska investoinnilla vähennetään juoksevia kuluja, jotka eivät ole muutoin vältettävissä</t>
  </si>
  <si>
    <t xml:space="preserve">Yleensä 6-10% alkuinvestoinnista riippuen järjestelmän koosta: pienissä järjestelmissä osuus on suurempi ja suurissa järjestelmissä pienempi. </t>
  </si>
  <si>
    <t>Aurinkosähkön kustannus- ja tuottolaskelmat järjestelmän elinkaaren aikana:</t>
  </si>
  <si>
    <t>Aurinkosähköjärjestelmän pitoaika ja tuotanto</t>
  </si>
  <si>
    <t>Aurinkosähkön vertailukustannukset</t>
  </si>
  <si>
    <t>Aurinkosähkön tuotantokustannukset</t>
  </si>
  <si>
    <t>Aurinkosähkön ylijäämän myynti</t>
  </si>
  <si>
    <t>Aurinkosähkön tuotto- ja talouslaskelmat</t>
  </si>
  <si>
    <t>Aurinko- sähkön tuotanto kWh/v</t>
  </si>
  <si>
    <t>Ostosähkön hankinta- kustannus eur/kWh</t>
  </si>
  <si>
    <t>Aurinkosähkön tuotantoa vastaavan ostosähkön arvo eur/v</t>
  </si>
  <si>
    <t>Investoinnin kertamaksu tai lainaerät €/v</t>
  </si>
  <si>
    <t>Rahoituksen korkokulut eur/v</t>
  </si>
  <si>
    <t>Aurinkosähkön kustannukset yhteensä eur/v</t>
  </si>
  <si>
    <t>Aurinkosähkön ylijäämän myyntihinta eur/kWh</t>
  </si>
  <si>
    <t>Aurinkosähkön ylijäämän myyntituotot eur/v</t>
  </si>
  <si>
    <t>Aurinkosähkön tuotannon arvo yhteensä eur/v</t>
  </si>
  <si>
    <t>Kassavirta eu/v</t>
  </si>
  <si>
    <t>Investoinnin kumulatiivinen tuotto eur/v</t>
  </si>
  <si>
    <t>Investoinnin nettonykyarvoja (NPV) laskentakorolla eur/v</t>
  </si>
  <si>
    <t>Takaisinmaksu- vuodet</t>
  </si>
  <si>
    <t>Investoinnin nettonykyarvo 30 vuoden käyttöiällä</t>
  </si>
  <si>
    <t>Kiinteistön aurinkosähköjärjestelmän mitoituksen arvioimiseksi täytä lähtötiedot punaisiin soluihin:</t>
  </si>
  <si>
    <t>Wp</t>
  </si>
  <si>
    <t>Vinkki: säädä koko sellaiseksi, että järjestelmästä syntyy mahdollisimman vähän ylijäämää</t>
  </si>
  <si>
    <r>
      <t xml:space="preserve">Aurinkosähköjärjestelmän hyötysuhde </t>
    </r>
    <r>
      <rPr>
        <sz val="12"/>
        <color rgb="FF000000"/>
        <rFont val="Calibri"/>
        <family val="2"/>
      </rPr>
      <t xml:space="preserve">% </t>
    </r>
    <r>
      <rPr>
        <sz val="12"/>
        <color rgb="FF000000"/>
        <rFont val="Calibri"/>
        <family val="2"/>
      </rPr>
      <t>(suhde, jolla säteilymäärä saadaan talteen)</t>
    </r>
  </si>
  <si>
    <t>Kiinteistön vuorokausikohtaisesta sähkönkulutuksesta maksimiosuus, jonka voi tuottaa omalla aurinkosähköllä %</t>
  </si>
  <si>
    <t xml:space="preserve">Vinkki: Jos esimerkiksi heinäkuussa yhden vuorokauden aikana sähköä kuluu tasaisesti 10 kWh tunnissa eli yhteensä 240 kWh/vrk, niin karkeasti arvioiden aurinkosähköllä voi kiinteistön sähkönkulutuksen määrästä kattaa valoisaan aikaan maksimissaan noin puolet edellyttäen että järjestelmän tuotto kattaisi valoisaan aikaan sähkönkulutuksen kokonaan. </t>
  </si>
  <si>
    <t>Järjestelmän koko paneelien pinta-alana m2</t>
  </si>
  <si>
    <t>Kuukaudet</t>
  </si>
  <si>
    <t>Päivien määrä kuukaudessa</t>
  </si>
  <si>
    <t>Kiinteistön kuukausikohtainen sähkönkulutus kWh/kk</t>
  </si>
  <si>
    <t>Auringon säteily kWh/m2/pv sijainnin mukaan</t>
  </si>
  <si>
    <t xml:space="preserve"> Sähkön ostohinta €/MWh/kk</t>
  </si>
  <si>
    <t>Aurinkosähkön ylijäämän myyntihinta €/MWh/kk</t>
  </si>
  <si>
    <t>Aurinkosähkön tuotanto kWh/kk</t>
  </si>
  <si>
    <t>Aurinkosähköä omaan käyttöön kWh</t>
  </si>
  <si>
    <t>Aurinkosähköä myyntiin kWh</t>
  </si>
  <si>
    <t>Sähkön ostotarve kWh</t>
  </si>
  <si>
    <t>Omaan käyttöön tuotetun aurinkosähkön arvo €</t>
  </si>
  <si>
    <t>Sähkön myyntitulot €</t>
  </si>
  <si>
    <t>Yhteensä</t>
  </si>
  <si>
    <t>Aurinkosähköjärjestelmän vuosituotto</t>
  </si>
  <si>
    <t>Aurinkosähkön myynnin tai ylijäämän osuus % vuodessa</t>
  </si>
  <si>
    <t xml:space="preserve">Kannattavuuslaskurin v1.0  tekijät: Juntunen Jouni, Jalas Mikko ja Auvinen Karoliina. 2015. FinSolar-hanke, Aalto-yliopisto. </t>
  </si>
  <si>
    <t>Kannattavuuslaskurin v1.1 tekijät: Auvinen Karoliina ja Rummukainen Miika. 2020. Canemure-hanke, Suomen ympäristökeskus SYKE.</t>
  </si>
  <si>
    <t>Aurinkosähkön ylijäämän osuus % vuosituotannosta, oletettu</t>
  </si>
  <si>
    <t>kiinteistösähkö ja huoneistojen sähkö</t>
  </si>
  <si>
    <t>Yhteyshenkilö laskuria koskien: Miika Rummukainen, miika.rummukainen@ymparisto.fi</t>
  </si>
  <si>
    <t>Huom. kannattavuuslaskelmissa mahdollinen ylijäämäsähkön hinta, aurinkosähkön tuotantotuki, pientuotannon siirtomaksu käsittely.</t>
  </si>
  <si>
    <t>Järjestelmän päästövähennys vuodessa (päästökertoimet v. 2019), kgCO2/v</t>
  </si>
  <si>
    <r>
      <t xml:space="preserve">Järjestelmän kustannus tukien ja omien arvojen jälkeen. </t>
    </r>
    <r>
      <rPr>
        <sz val="11"/>
        <color rgb="FFFF0000"/>
        <rFont val="Calibri"/>
        <family val="2"/>
        <scheme val="minor"/>
      </rPr>
      <t>Huom! Valitse muistiinpanosta tukikaava!</t>
    </r>
  </si>
  <si>
    <t>Vuotuiset ylläpitokulut (vakuutukset, huolto tms. kulut)</t>
  </si>
  <si>
    <t>Ohje: Investointikustannus alla olevan taulukon solussa E46 (ks alla).</t>
  </si>
  <si>
    <t>Ohje: Investointikustannus yllä olevan taulukon solussa F38 (ks yllä).</t>
  </si>
  <si>
    <t>Kokemuksia, vertailutietoja esim.:</t>
  </si>
  <si>
    <t>Järjestelmän todellinen koko laskurissa, % tai kW</t>
  </si>
  <si>
    <t>Aurinkosähköjärjestelmän koko, 10 - 15 - 20% tai kW</t>
  </si>
  <si>
    <t>Huom. laskelmissa aurinkosähkö tulee pääasiallisesti omaan käyttöön, joten oletuksena on, että vaihtoehtoiskustannuksen nousu 0% ja investoinnin korko 0% neutraloivat toisensa.</t>
  </si>
  <si>
    <t>Järjestelmän kannattavuuden laskemiseksi ja mitoittamiseksi välttämättömiä oletustietoja tai tulostietoja, älä muokkaa näitä  mustia soluja!</t>
  </si>
  <si>
    <t>Kustannus-säästö vuodessa, €/v</t>
  </si>
  <si>
    <t>Kannattavuus takaisinmaksu-ajalla mitattuna, vuotta</t>
  </si>
  <si>
    <t>Huom. kannattavuuslaskelmissa ei ole huomioitu inflaatiota, kulutuksen ja tuotannon vuorokausivaihteluja.</t>
  </si>
  <si>
    <t>Huom! Lähtötiedot sähkönkokonaishinta 11,07158 snt/kWh (sis. alv 0 %).</t>
  </si>
  <si>
    <t>Ilmavesilämpöpumppu järjestelmän koko, 30 - 50 - 70% -&gt; 90-95% tai kW</t>
  </si>
  <si>
    <t>Maalämpöpumppu järjestelmän koko, 95-97 % -&gt; 96-98% tai kW</t>
  </si>
  <si>
    <t>0.98</t>
  </si>
  <si>
    <t>Toimitettu HiilineutraaliSuomi -sivustolle esimerkkikohteen tarkentamiseksi.</t>
  </si>
  <si>
    <t>https://www.ymparisto.fi/fi-FI/Rakentaminen/Korjaustieto/Pientalot/Energiatehokkuus/Energiatehokas_pientalo/Energiankulutus</t>
  </si>
  <si>
    <t>[Kohteen tyyppitiedot]: Pientalon energiankulutuksesta lämmitykseen tyyp. 50 (52%), käyttöveteen tyyp. 20% ja sähkönkulutukseen tyyp. 30 (28%), (jäähdytys luokkaa 2%).</t>
  </si>
  <si>
    <t>http://www.ely-keskus.fi/web/ely/oljylammityksen-vaihtajalle</t>
  </si>
  <si>
    <r>
      <t xml:space="preserve">Huom! Voit tehdä omia laskelmia, kun olet ladannut tiedoston omalle koneellesi. Lataa laskentataulukko omaan käyttöösi Excel-tiedostona kohdasta "File" -&gt; "Download as" -&gt; Excel. </t>
    </r>
    <r>
      <rPr>
        <i/>
        <sz val="11"/>
        <color rgb="FF000000"/>
        <rFont val="Arial"/>
        <family val="2"/>
      </rPr>
      <t>Laskentapohjassa on esimerkkinä 3 kW:n aurinkosähköjärjestelmän kannattavuuslaskelmat.</t>
    </r>
  </si>
  <si>
    <r>
      <t xml:space="preserve">Huom! Voit tehdä omia laskelmia, kun olet ladannut tiedoston omalle koneellesi. Lataa laskentataulukko omaan käyttöösi Excel-tiedostona kohdasta "File" -&gt; "Download as" -&gt; Excel. </t>
    </r>
    <r>
      <rPr>
        <i/>
        <sz val="12"/>
        <rFont val="Calibri"/>
        <family val="2"/>
      </rPr>
      <t>Laskentapohjassa on esimerkkinä 5 kW:n aurinkosähköjärjestelmän kannattavuuslaskelmat.</t>
    </r>
  </si>
  <si>
    <t>[Kohde]: Omakotitalo, rakennusvuosi 196., pinta-ala 13. m2.</t>
  </si>
  <si>
    <t>[Kohteen tyyppitiedot]:  Lämmitysenergian kulutus kohteessa 143 … 153 kWh/m2 (omakoti- ja paritalot, 1960-1969, keskikulutus 240 kWh/m2).</t>
  </si>
  <si>
    <t>3 kW, case MLP 96 %</t>
  </si>
  <si>
    <t>5 kW, case MPL 96 %</t>
  </si>
  <si>
    <t>70%: ..., 75%: …</t>
  </si>
  <si>
    <t>96%: ..., 98%: …</t>
  </si>
  <si>
    <t>Sähkönkulutuslisä/v 4 800 kWh</t>
  </si>
  <si>
    <t>Sähkönkulutuslisä/v 4 900 kWh</t>
  </si>
  <si>
    <t>Sähkönkulutuslisä/v 4 480 kWh</t>
  </si>
  <si>
    <t xml:space="preserve">Lähde: </t>
  </si>
  <si>
    <t>Kiinteistön lämpöpumppujärjestelmän kannattavuus- ja mitoituslaskuri (versio 9/2020). Tekijä(t) Miika Rummukainen ja Karoliina Auvinen, Suomen Ympäristökeskus SYKE</t>
  </si>
  <si>
    <t>Kiinteistön aurinkosähköjärjestelmän kannattavuuslaskuri (versio 9/2020)</t>
  </si>
  <si>
    <t>[Kohteen kulutustiedot]: Vuoden 20xx energiankulutus 2000 litra kevyt pö, hinta 1,00-1,10 € per litra (sis. alv 25,5 %) ja 7500 kWh kulutussähkö, hinta 14 snt/kWh (sis. alv 25,5%) .</t>
  </si>
  <si>
    <t>Järjestelmän avaimet käteen hinta, sis alv 25,5%</t>
  </si>
  <si>
    <t>Järjestelmän hinta laskurissa tukien jälkeen, sis alv 25,5%</t>
  </si>
  <si>
    <t>Korvattavan energian kuluttajahinta sis alv 25,5%</t>
  </si>
  <si>
    <t>Järjestelmän investointikustannus (laitteet ja asennus) sis alv 25,5%</t>
  </si>
  <si>
    <t>Lämmön ylijäämätuotannon myyntihinta verkkoon sis alv 25,5%</t>
  </si>
  <si>
    <t>Ylläpito- ja huoltokulut (keskim. vuosikulu elinkaaren aikana) sis alv 25,5%</t>
  </si>
  <si>
    <t>Sähkön ostohinta sis alv 25,5%</t>
  </si>
  <si>
    <t>Yritykset ja kunnat 0%, kuluttajat 25,5%</t>
  </si>
  <si>
    <t>Huom. Yritykset ja kunnat sis ALV 0% ja kuluttajat hinnassa mukana ALV 25,5 %.</t>
  </si>
  <si>
    <t>Rakentamisen päästötietokanta</t>
  </si>
  <si>
    <t>Lisätietoa päästökertoimista</t>
  </si>
  <si>
    <t>https://www.motiva.fi/ratkaisut/energiankaytto_suomessa/co2-paastokertoimet</t>
  </si>
  <si>
    <t xml:space="preserve"> Käyttäjän on tarkistettava ajantasainen tieto tukien ja avustusten voimassaolosta</t>
  </si>
  <si>
    <t>Huom. Energiatuki 20%, Energia-avustus enint. 50%. Käyttäjän on tarkistettava ajantasainen tieto tukien ja avustusten voimassaolosta.</t>
  </si>
  <si>
    <t>Arvonlisäveroprosentit ja päästökertoimet päivitetty 1.11.2024 Jarmo Linjama</t>
  </si>
  <si>
    <t>Maalämpö laski ison paritaloasunnon energiakuluja lähes 3 000 euroa vuodessa – Kestävyysloikka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</si>
</sst>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0\ &quot;€&quot;;[Red]\-#,##0\ &quot;€&quot;"/>
    <numFmt numFmtId="44" formatCode="_-* #,##0.00\ &quot;€&quot;_-;\-* #,##0.00\ &quot;€&quot;_-;_-* &quot;-&quot;??\ &quot;€&quot;_-;_-@_-"/>
    <numFmt numFmtId="164" formatCode="0.0"/>
    <numFmt numFmtId="165" formatCode="#,##0.000"/>
    <numFmt numFmtId="166" formatCode="0.0%"/>
    <numFmt numFmtId="167" formatCode="&quot;€&quot;#,##0"/>
    <numFmt numFmtId="168" formatCode="#,##0\ &quot;€&quot;"/>
    <numFmt numFmtId="169" formatCode="0.0\ %"/>
    <numFmt numFmtId="170" formatCode="#,##0.0\ &quot;€&quot;"/>
    <numFmt numFmtId="171" formatCode="_-* #,##0\ &quot;€&quot;_-;\-* #,##0\ &quot;€&quot;_-;_-* &quot;-&quot;??\ &quot;€&quot;_-;_-@"/>
    <numFmt numFmtId="172" formatCode="#,##0.00\ &quot;€&quot;"/>
    <numFmt numFmtId="173" formatCode="#,##0.0"/>
    <numFmt numFmtId="174" formatCode="&quot;€&quot;#,##0.00"/>
    <numFmt numFmtId="175" formatCode="#,##0_ ;\-#,##0\ "/>
    <numFmt numFmtId="176" formatCode="[$€]#,##0"/>
    <numFmt numFmtId="177" formatCode="[$€]#,##0.0"/>
    <numFmt numFmtId="178" formatCode="0%"/>
    <numFmt numFmtId="179" formatCode="[$€]#,##0.00"/>
    <numFmt numFmtId="180" formatCode="_-* #,##0\ [$€-40B]_-;\-* #,##0\ [$€-40B]_-;_-* &quot;-&quot;??\ [$€-40B]_-;_-@_-"/>
    <numFmt numFmtId="181" formatCode="_-* #,##0\ &quot;€&quot;_-;\-* #,##0\ &quot;€&quot;_-;_-* &quot;-&quot;??\ &quot;€&quot;_-;_-@_-"/>
    <numFmt numFmtId="182" formatCode="#,##0.0\ [$€-42E]"/>
  </numFmts>
  <fonts count="50"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2"/>
      <color rgb="FF000000"/>
      <name val="Calibri"/>
      <family val="2"/>
    </font>
    <font>
      <sz val="12"/>
      <color rgb="FF000000"/>
      <name val="Calibri"/>
      <family val="2"/>
    </font>
    <font>
      <b/>
      <sz val="14"/>
      <color rgb="FF000000"/>
      <name val="Calibri"/>
      <family val="2"/>
    </font>
    <font>
      <b/>
      <sz val="12"/>
      <color rgb="FF000000"/>
      <name val="Calibri"/>
      <family val="2"/>
    </font>
    <font>
      <sz val="12"/>
      <name val="Calibri"/>
      <family val="2"/>
    </font>
    <font>
      <sz val="12"/>
      <color rgb="FFFF0000"/>
      <name val="Calibri"/>
      <family val="2"/>
    </font>
    <font>
      <u/>
      <sz val="12"/>
      <color theme="10"/>
      <name val="Calibri"/>
      <family val="2"/>
    </font>
    <font>
      <i/>
      <sz val="12"/>
      <name val="Calibri"/>
      <family val="2"/>
    </font>
    <font>
      <sz val="12"/>
      <name val="Calibri"/>
      <family val="2"/>
    </font>
    <font>
      <b/>
      <sz val="9"/>
      <color indexed="81"/>
      <name val="Tahoma"/>
      <family val="2"/>
    </font>
    <font>
      <sz val="9"/>
      <color indexed="81"/>
      <name val="Tahoma"/>
      <family val="2"/>
    </font>
    <font>
      <b/>
      <sz val="11"/>
      <color rgb="FFFF0000"/>
      <name val="Calibri"/>
      <family val="2"/>
      <scheme val="minor"/>
    </font>
    <font>
      <b/>
      <sz val="11"/>
      <color rgb="FF0070C0"/>
      <name val="Calibri"/>
      <family val="2"/>
      <scheme val="minor"/>
    </font>
    <font>
      <sz val="12"/>
      <color rgb="FF0070C0"/>
      <name val="Calibri"/>
      <family val="2"/>
    </font>
    <font>
      <b/>
      <sz val="11"/>
      <color rgb="FF000000"/>
      <name val="Calibri"/>
      <family val="2"/>
    </font>
    <font>
      <sz val="12"/>
      <color rgb="FFFF0000"/>
      <name val="Calibri"/>
      <family val="2"/>
    </font>
    <font>
      <b/>
      <sz val="12"/>
      <color rgb="FF000000"/>
      <name val="Calibri"/>
      <family val="2"/>
    </font>
    <font>
      <b/>
      <sz val="12"/>
      <name val="Calibri"/>
      <family val="2"/>
    </font>
    <font>
      <b/>
      <sz val="14"/>
      <color rgb="FF000000"/>
      <name val="Arial"/>
      <family val="2"/>
    </font>
    <font>
      <b/>
      <sz val="11"/>
      <name val="Calibri"/>
      <family val="2"/>
      <scheme val="minor"/>
    </font>
    <font>
      <sz val="12"/>
      <color theme="1"/>
      <name val="Calibri"/>
      <family val="2"/>
      <scheme val="minor"/>
    </font>
    <font>
      <sz val="11"/>
      <name val="Calibri"/>
      <family val="2"/>
      <scheme val="minor"/>
    </font>
    <font>
      <sz val="11"/>
      <color theme="0" tint="-0.499984740745262"/>
      <name val="Calibri"/>
      <family val="2"/>
      <scheme val="minor"/>
    </font>
    <font>
      <sz val="12"/>
      <name val="Calibri"/>
      <family val="2"/>
      <scheme val="minor"/>
    </font>
    <font>
      <i/>
      <sz val="12"/>
      <color rgb="FF000000"/>
      <name val="Calibri"/>
      <family val="2"/>
    </font>
    <font>
      <i/>
      <sz val="12"/>
      <name val="Calibri"/>
      <family val="2"/>
    </font>
    <font>
      <b/>
      <sz val="20"/>
      <color theme="1"/>
      <name val="Calibri"/>
      <family val="2"/>
      <scheme val="minor"/>
    </font>
    <font>
      <i/>
      <sz val="12"/>
      <color rgb="FFFF0000"/>
      <name val="Calibri"/>
      <family val="2"/>
    </font>
    <font>
      <sz val="12"/>
      <color theme="4"/>
      <name val="Calibri"/>
      <family val="2"/>
    </font>
    <font>
      <sz val="12"/>
      <color rgb="FFFF0000"/>
      <name val="Calibri"/>
      <family val="2"/>
      <scheme val="minor"/>
    </font>
    <font>
      <sz val="11"/>
      <name val="Arial"/>
      <family val="2"/>
    </font>
    <font>
      <sz val="11"/>
      <color rgb="FF000000"/>
      <name val="Arial"/>
      <family val="2"/>
    </font>
    <font>
      <b/>
      <sz val="12"/>
      <color rgb="FF000000"/>
      <name val="Arial"/>
      <family val="2"/>
    </font>
    <font>
      <b/>
      <sz val="11"/>
      <color rgb="FF000000"/>
      <name val="Arial"/>
      <family val="2"/>
    </font>
    <font>
      <b/>
      <sz val="11"/>
      <color rgb="FFFF0000"/>
      <name val="Arial"/>
      <family val="2"/>
    </font>
    <font>
      <b/>
      <sz val="11"/>
      <color rgb="FF0000FF"/>
      <name val="Arial"/>
      <family val="2"/>
    </font>
    <font>
      <sz val="11"/>
      <color rgb="FFFF0000"/>
      <name val="Arial"/>
      <family val="2"/>
    </font>
    <font>
      <sz val="11"/>
      <color rgb="FF0000FF"/>
      <name val="Arial"/>
      <family val="2"/>
    </font>
    <font>
      <i/>
      <sz val="11"/>
      <color rgb="FF000000"/>
      <name val="Arial"/>
      <family val="2"/>
    </font>
    <font>
      <b/>
      <sz val="11"/>
      <name val="Arial"/>
      <family val="2"/>
    </font>
    <font>
      <sz val="11"/>
      <color rgb="FF3366FF"/>
      <name val="Arial"/>
      <family val="2"/>
    </font>
    <font>
      <i/>
      <sz val="11"/>
      <name val="Arial"/>
      <family val="2"/>
    </font>
    <font>
      <sz val="12"/>
      <color theme="4"/>
      <name val="Calibri"/>
      <family val="2"/>
      <scheme val="minor"/>
    </font>
    <font>
      <b/>
      <u/>
      <sz val="12"/>
      <color rgb="FF000000"/>
      <name val="Calibri"/>
      <family val="2"/>
    </font>
  </fonts>
  <fills count="22">
    <fill>
      <patternFill patternType="none"/>
    </fill>
    <fill>
      <patternFill patternType="gray125"/>
    </fill>
    <fill>
      <patternFill patternType="solid">
        <fgColor rgb="FFC6EFCE"/>
      </patternFill>
    </fill>
    <fill>
      <patternFill patternType="solid">
        <fgColor theme="0"/>
        <bgColor rgb="FFFFFF00"/>
      </patternFill>
    </fill>
    <fill>
      <patternFill patternType="solid">
        <fgColor rgb="FFFFFFFF"/>
        <bgColor rgb="FFFFFFFF"/>
      </patternFill>
    </fill>
    <fill>
      <patternFill patternType="solid">
        <fgColor rgb="FFFFFF00"/>
        <bgColor rgb="FFFFFF00"/>
      </patternFill>
    </fill>
    <fill>
      <patternFill patternType="solid">
        <fgColor rgb="FFFFFF00"/>
        <bgColor rgb="FFFFFFFF"/>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99CC"/>
        <bgColor indexed="64"/>
      </patternFill>
    </fill>
    <fill>
      <patternFill patternType="solid">
        <fgColor rgb="FFFF99CC"/>
        <bgColor rgb="FFFFFFFF"/>
      </patternFill>
    </fill>
    <fill>
      <patternFill patternType="solid">
        <fgColor theme="5" tint="0.59999389629810485"/>
        <bgColor indexed="64"/>
      </patternFill>
    </fill>
    <fill>
      <patternFill patternType="solid">
        <fgColor rgb="FFFFF2CC"/>
        <bgColor rgb="FFFFF2CC"/>
      </patternFill>
    </fill>
    <fill>
      <patternFill patternType="solid">
        <fgColor rgb="FFFFFF00"/>
        <bgColor indexed="64"/>
      </patternFill>
    </fill>
    <fill>
      <patternFill patternType="solid">
        <fgColor rgb="FFF3F3F3"/>
        <bgColor rgb="FFF3F3F3"/>
      </patternFill>
    </fill>
    <fill>
      <patternFill patternType="solid">
        <fgColor rgb="FFFCE5CD"/>
        <bgColor rgb="FFFCE5CD"/>
      </patternFill>
    </fill>
    <fill>
      <patternFill patternType="solid">
        <fgColor rgb="FFCFE2F3"/>
        <bgColor rgb="FFCFE2F3"/>
      </patternFill>
    </fill>
    <fill>
      <patternFill patternType="solid">
        <fgColor rgb="FFC9DAF8"/>
        <bgColor rgb="FFC9DAF8"/>
      </patternFill>
    </fill>
    <fill>
      <patternFill patternType="solid">
        <fgColor rgb="FFEAD1DC"/>
        <bgColor rgb="FFEAD1DC"/>
      </patternFill>
    </fill>
    <fill>
      <patternFill patternType="solid">
        <fgColor rgb="FF99FF99"/>
        <bgColor rgb="FFFFFFFF"/>
      </patternFill>
    </fill>
    <fill>
      <patternFill patternType="solid">
        <fgColor rgb="FF99FF99"/>
        <bgColor indexed="64"/>
      </patternFill>
    </fill>
    <fill>
      <patternFill patternType="solid">
        <fgColor theme="0"/>
        <bgColor indexed="64"/>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style="thin">
        <color rgb="FF000000"/>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6" fillId="0" borderId="0"/>
    <xf numFmtId="0" fontId="12" fillId="0" borderId="0" applyNumberFormat="0" applyFill="0" applyBorder="0" applyAlignment="0" applyProtection="0"/>
    <xf numFmtId="0" fontId="1" fillId="0" borderId="0"/>
    <xf numFmtId="0" fontId="6" fillId="0" borderId="0"/>
  </cellStyleXfs>
  <cellXfs count="427">
    <xf numFmtId="0" fontId="0" fillId="0" borderId="0" xfId="0"/>
    <xf numFmtId="0" fontId="8" fillId="0" borderId="0" xfId="5" applyFont="1" applyAlignment="1"/>
    <xf numFmtId="0" fontId="6" fillId="0" borderId="0" xfId="5" applyFont="1" applyAlignment="1"/>
    <xf numFmtId="0" fontId="6" fillId="0" borderId="0" xfId="5" applyFont="1" applyAlignment="1"/>
    <xf numFmtId="0" fontId="7" fillId="0" borderId="0" xfId="5" applyFont="1" applyAlignment="1"/>
    <xf numFmtId="0" fontId="6" fillId="0" borderId="5" xfId="5" applyFont="1" applyBorder="1" applyAlignment="1">
      <alignment wrapText="1"/>
    </xf>
    <xf numFmtId="0" fontId="10" fillId="0" borderId="0" xfId="5" applyFont="1"/>
    <xf numFmtId="0" fontId="10" fillId="0" borderId="5" xfId="5" applyFont="1" applyBorder="1" applyAlignment="1">
      <alignment wrapText="1"/>
    </xf>
    <xf numFmtId="0" fontId="17" fillId="0" borderId="0" xfId="0" applyFont="1"/>
    <xf numFmtId="0" fontId="18" fillId="0" borderId="0" xfId="0" applyFont="1"/>
    <xf numFmtId="0" fontId="5" fillId="0" borderId="0" xfId="4"/>
    <xf numFmtId="0" fontId="19" fillId="0" borderId="5" xfId="0" applyFont="1" applyBorder="1" applyAlignment="1"/>
    <xf numFmtId="0" fontId="0" fillId="0" borderId="0" xfId="0" applyFont="1" applyAlignment="1"/>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20" fillId="0" borderId="21" xfId="0" applyFont="1" applyFill="1" applyBorder="1" applyAlignment="1">
      <alignment horizontal="center" vertical="top" wrapText="1"/>
    </xf>
    <xf numFmtId="164" fontId="14" fillId="0" borderId="5" xfId="0" applyNumberFormat="1" applyFont="1" applyBorder="1" applyAlignment="1"/>
    <xf numFmtId="1" fontId="3" fillId="0" borderId="5" xfId="0" applyNumberFormat="1" applyFont="1" applyBorder="1" applyAlignment="1"/>
    <xf numFmtId="1" fontId="0" fillId="0" borderId="5" xfId="0" applyNumberFormat="1" applyFont="1" applyBorder="1" applyAlignment="1"/>
    <xf numFmtId="1" fontId="14" fillId="0" borderId="5" xfId="0" applyNumberFormat="1" applyFont="1" applyBorder="1" applyAlignment="1"/>
    <xf numFmtId="0" fontId="14" fillId="0" borderId="21" xfId="0" applyFont="1" applyBorder="1" applyAlignment="1"/>
    <xf numFmtId="168" fontId="0" fillId="0" borderId="5" xfId="0" applyNumberFormat="1" applyFont="1" applyBorder="1" applyAlignment="1"/>
    <xf numFmtId="0" fontId="22" fillId="0" borderId="22" xfId="0" applyFont="1" applyBorder="1" applyAlignment="1"/>
    <xf numFmtId="9" fontId="14" fillId="0" borderId="5" xfId="0" applyNumberFormat="1" applyFont="1" applyBorder="1" applyAlignment="1"/>
    <xf numFmtId="0" fontId="0" fillId="0" borderId="5" xfId="0" applyFont="1" applyBorder="1" applyAlignment="1"/>
    <xf numFmtId="0" fontId="22" fillId="0" borderId="0" xfId="0" applyFont="1" applyAlignment="1"/>
    <xf numFmtId="6" fontId="23" fillId="5" borderId="16" xfId="0" applyNumberFormat="1" applyFont="1" applyFill="1" applyBorder="1" applyAlignment="1"/>
    <xf numFmtId="1" fontId="22" fillId="5" borderId="24" xfId="0" applyNumberFormat="1" applyFont="1" applyFill="1" applyBorder="1" applyAlignment="1"/>
    <xf numFmtId="164" fontId="22" fillId="5" borderId="24" xfId="0" applyNumberFormat="1" applyFont="1" applyFill="1" applyBorder="1" applyAlignment="1"/>
    <xf numFmtId="166" fontId="22" fillId="5" borderId="24" xfId="0" applyNumberFormat="1" applyFont="1" applyFill="1" applyBorder="1" applyAlignment="1"/>
    <xf numFmtId="4" fontId="22" fillId="5" borderId="20" xfId="0" applyNumberFormat="1" applyFont="1" applyFill="1" applyBorder="1" applyAlignment="1"/>
    <xf numFmtId="0" fontId="4" fillId="0" borderId="0" xfId="0" applyFont="1"/>
    <xf numFmtId="171" fontId="0" fillId="0" borderId="5" xfId="0" applyNumberFormat="1" applyFont="1" applyBorder="1" applyAlignment="1"/>
    <xf numFmtId="2" fontId="0" fillId="0" borderId="5" xfId="0" applyNumberFormat="1" applyFont="1" applyBorder="1" applyAlignment="1"/>
    <xf numFmtId="0" fontId="0" fillId="0" borderId="0" xfId="0" applyFont="1" applyBorder="1" applyAlignment="1"/>
    <xf numFmtId="0" fontId="0" fillId="5" borderId="5" xfId="0" applyFont="1" applyFill="1" applyBorder="1" applyAlignment="1"/>
    <xf numFmtId="174" fontId="0" fillId="5" borderId="5" xfId="0" applyNumberFormat="1" applyFont="1" applyFill="1" applyBorder="1" applyAlignment="1"/>
    <xf numFmtId="175" fontId="0" fillId="5" borderId="5" xfId="0" applyNumberFormat="1" applyFont="1" applyFill="1" applyBorder="1" applyAlignment="1"/>
    <xf numFmtId="2" fontId="21" fillId="0" borderId="5" xfId="0" applyNumberFormat="1" applyFont="1" applyBorder="1" applyAlignment="1"/>
    <xf numFmtId="168" fontId="21" fillId="0" borderId="5" xfId="0" applyNumberFormat="1" applyFont="1" applyBorder="1" applyAlignment="1"/>
    <xf numFmtId="0" fontId="14" fillId="0" borderId="0" xfId="5" applyFont="1" applyAlignment="1"/>
    <xf numFmtId="0" fontId="7" fillId="0" borderId="5" xfId="5" applyFont="1" applyBorder="1" applyAlignment="1">
      <alignment wrapText="1"/>
    </xf>
    <xf numFmtId="0" fontId="3" fillId="0" borderId="21" xfId="0" applyFont="1" applyBorder="1"/>
    <xf numFmtId="1" fontId="0" fillId="0" borderId="7" xfId="0" applyNumberFormat="1" applyFont="1" applyBorder="1" applyAlignment="1"/>
    <xf numFmtId="0" fontId="14" fillId="0" borderId="0" xfId="0" applyFont="1" applyBorder="1"/>
    <xf numFmtId="0" fontId="14" fillId="0" borderId="21" xfId="0" applyNumberFormat="1" applyFont="1" applyBorder="1" applyAlignment="1"/>
    <xf numFmtId="0" fontId="0" fillId="0" borderId="0" xfId="0" applyBorder="1" applyAlignment="1"/>
    <xf numFmtId="0" fontId="3" fillId="0" borderId="0" xfId="0" applyFont="1" applyBorder="1"/>
    <xf numFmtId="0" fontId="25" fillId="0" borderId="0" xfId="0" applyFont="1"/>
    <xf numFmtId="0" fontId="4" fillId="0" borderId="0" xfId="0" applyFont="1" applyBorder="1" applyAlignment="1"/>
    <xf numFmtId="49" fontId="0" fillId="0" borderId="0" xfId="0" applyNumberFormat="1" applyFont="1" applyBorder="1" applyAlignment="1">
      <alignment horizontal="left" vertical="top"/>
    </xf>
    <xf numFmtId="166" fontId="19" fillId="0" borderId="0" xfId="0" applyNumberFormat="1" applyFont="1" applyBorder="1" applyAlignment="1"/>
    <xf numFmtId="166" fontId="19" fillId="0" borderId="11" xfId="0" applyNumberFormat="1" applyFont="1" applyBorder="1" applyAlignment="1"/>
    <xf numFmtId="166" fontId="19" fillId="0" borderId="21" xfId="0" applyNumberFormat="1" applyFont="1" applyBorder="1" applyAlignment="1"/>
    <xf numFmtId="0" fontId="19" fillId="0" borderId="21" xfId="2" applyNumberFormat="1" applyFont="1" applyBorder="1" applyAlignment="1"/>
    <xf numFmtId="1" fontId="0" fillId="0" borderId="21" xfId="0" applyNumberFormat="1" applyBorder="1"/>
    <xf numFmtId="171" fontId="0" fillId="5" borderId="21" xfId="0" applyNumberFormat="1" applyFont="1" applyFill="1" applyBorder="1" applyAlignment="1"/>
    <xf numFmtId="0" fontId="0" fillId="0" borderId="0" xfId="0" applyBorder="1"/>
    <xf numFmtId="0" fontId="21" fillId="0" borderId="21" xfId="0" applyNumberFormat="1" applyFont="1" applyBorder="1" applyAlignment="1"/>
    <xf numFmtId="168" fontId="19" fillId="0" borderId="5" xfId="0" applyNumberFormat="1" applyFont="1" applyBorder="1" applyAlignment="1"/>
    <xf numFmtId="9" fontId="19" fillId="0" borderId="5" xfId="5" applyNumberFormat="1" applyFont="1" applyBorder="1" applyAlignment="1"/>
    <xf numFmtId="164" fontId="19" fillId="0" borderId="11" xfId="5" applyNumberFormat="1" applyFont="1" applyBorder="1" applyAlignment="1"/>
    <xf numFmtId="169" fontId="19" fillId="0" borderId="11" xfId="0" applyNumberFormat="1" applyFont="1" applyBorder="1" applyAlignment="1"/>
    <xf numFmtId="164" fontId="19" fillId="0" borderId="5" xfId="0" applyNumberFormat="1" applyFont="1" applyBorder="1" applyAlignment="1"/>
    <xf numFmtId="0" fontId="0" fillId="0" borderId="21" xfId="0" applyNumberFormat="1" applyFont="1" applyBorder="1" applyAlignment="1"/>
    <xf numFmtId="168" fontId="14" fillId="0" borderId="21" xfId="0" applyNumberFormat="1" applyFont="1" applyBorder="1" applyAlignment="1"/>
    <xf numFmtId="168" fontId="0" fillId="0" borderId="21" xfId="0" applyNumberFormat="1" applyBorder="1"/>
    <xf numFmtId="0" fontId="0" fillId="0" borderId="4" xfId="0" applyFont="1" applyBorder="1" applyAlignment="1"/>
    <xf numFmtId="171" fontId="0" fillId="0" borderId="7" xfId="0" applyNumberFormat="1" applyFont="1" applyBorder="1" applyAlignment="1"/>
    <xf numFmtId="168" fontId="0" fillId="0" borderId="11" xfId="0" applyNumberFormat="1" applyFont="1" applyBorder="1" applyAlignment="1"/>
    <xf numFmtId="168" fontId="0" fillId="0" borderId="21" xfId="0" applyNumberFormat="1" applyFont="1" applyBorder="1" applyAlignment="1"/>
    <xf numFmtId="0" fontId="7" fillId="0" borderId="21" xfId="5" applyFont="1" applyBorder="1" applyAlignment="1">
      <alignment wrapText="1"/>
    </xf>
    <xf numFmtId="0" fontId="6" fillId="0" borderId="21" xfId="5" applyFont="1" applyBorder="1" applyAlignment="1"/>
    <xf numFmtId="0" fontId="6" fillId="0" borderId="21" xfId="5" applyFont="1" applyBorder="1" applyAlignment="1">
      <alignment wrapText="1"/>
    </xf>
    <xf numFmtId="1" fontId="6" fillId="0" borderId="21" xfId="5" applyNumberFormat="1" applyFont="1" applyBorder="1" applyAlignment="1"/>
    <xf numFmtId="0" fontId="6" fillId="0" borderId="0" xfId="5" applyFont="1" applyAlignment="1"/>
    <xf numFmtId="0" fontId="5" fillId="0" borderId="0" xfId="4" applyAlignment="1"/>
    <xf numFmtId="0" fontId="30" fillId="0" borderId="21" xfId="5" applyFont="1" applyBorder="1" applyAlignment="1"/>
    <xf numFmtId="6" fontId="6" fillId="0" borderId="11" xfId="5" applyNumberFormat="1" applyFont="1" applyBorder="1" applyAlignment="1"/>
    <xf numFmtId="6" fontId="30" fillId="0" borderId="21" xfId="5" applyNumberFormat="1" applyFont="1" applyBorder="1" applyAlignment="1"/>
    <xf numFmtId="1" fontId="6" fillId="0" borderId="23" xfId="5" applyNumberFormat="1" applyFont="1" applyBorder="1" applyAlignment="1"/>
    <xf numFmtId="1" fontId="30" fillId="0" borderId="21" xfId="5" applyNumberFormat="1" applyFont="1" applyBorder="1" applyAlignment="1"/>
    <xf numFmtId="0" fontId="7" fillId="0" borderId="21" xfId="5" applyFont="1" applyBorder="1" applyAlignment="1"/>
    <xf numFmtId="0" fontId="6" fillId="0" borderId="0" xfId="5" applyFont="1" applyAlignment="1"/>
    <xf numFmtId="0" fontId="0" fillId="0" borderId="0" xfId="0" applyAlignment="1">
      <alignment horizontal="left" wrapText="1"/>
    </xf>
    <xf numFmtId="0" fontId="11" fillId="0" borderId="0" xfId="5" applyFont="1" applyAlignment="1"/>
    <xf numFmtId="0" fontId="33" fillId="0" borderId="21" xfId="5" applyFont="1" applyBorder="1" applyAlignment="1"/>
    <xf numFmtId="0" fontId="11" fillId="0" borderId="11" xfId="5" applyFont="1" applyBorder="1" applyAlignment="1"/>
    <xf numFmtId="0" fontId="6" fillId="0" borderId="0" xfId="5" applyFont="1" applyAlignment="1"/>
    <xf numFmtId="9" fontId="33" fillId="0" borderId="0" xfId="5" applyNumberFormat="1" applyFont="1" applyBorder="1" applyAlignment="1"/>
    <xf numFmtId="167" fontId="31" fillId="0" borderId="0" xfId="5" applyNumberFormat="1" applyFont="1" applyBorder="1"/>
    <xf numFmtId="0" fontId="33" fillId="0" borderId="0" xfId="5" applyFont="1" applyBorder="1" applyAlignment="1"/>
    <xf numFmtId="6" fontId="30" fillId="0" borderId="0" xfId="5" applyNumberFormat="1" applyFont="1" applyBorder="1" applyAlignment="1"/>
    <xf numFmtId="1" fontId="30" fillId="0" borderId="0" xfId="5" applyNumberFormat="1" applyFont="1" applyBorder="1" applyAlignment="1"/>
    <xf numFmtId="0" fontId="30" fillId="0" borderId="0" xfId="5" applyFont="1" applyBorder="1" applyAlignment="1"/>
    <xf numFmtId="0" fontId="7" fillId="0" borderId="0" xfId="5" applyFont="1" applyBorder="1" applyAlignment="1"/>
    <xf numFmtId="0" fontId="0" fillId="0" borderId="0" xfId="0"/>
    <xf numFmtId="169" fontId="21" fillId="0" borderId="5" xfId="0" applyNumberFormat="1" applyFont="1" applyBorder="1" applyAlignment="1"/>
    <xf numFmtId="2" fontId="34" fillId="0" borderId="5" xfId="0" applyNumberFormat="1" applyFont="1" applyBorder="1" applyAlignment="1"/>
    <xf numFmtId="0" fontId="0" fillId="0" borderId="21" xfId="0" applyBorder="1"/>
    <xf numFmtId="0" fontId="0" fillId="0" borderId="0" xfId="0"/>
    <xf numFmtId="0" fontId="6" fillId="0" borderId="0" xfId="5" applyFont="1" applyAlignment="1"/>
    <xf numFmtId="9" fontId="30" fillId="0" borderId="21" xfId="2" applyFont="1" applyBorder="1" applyAlignment="1"/>
    <xf numFmtId="9" fontId="6" fillId="0" borderId="21" xfId="2" applyFont="1" applyBorder="1" applyAlignment="1"/>
    <xf numFmtId="0" fontId="6" fillId="0" borderId="0" xfId="5" applyFont="1" applyAlignment="1"/>
    <xf numFmtId="9" fontId="35" fillId="0" borderId="21" xfId="2" applyFont="1" applyBorder="1"/>
    <xf numFmtId="0" fontId="35" fillId="0" borderId="21" xfId="0" applyFont="1" applyBorder="1"/>
    <xf numFmtId="2" fontId="11" fillId="0" borderId="5" xfId="0" applyNumberFormat="1" applyFont="1" applyBorder="1" applyAlignment="1"/>
    <xf numFmtId="168" fontId="10" fillId="0" borderId="21" xfId="0" applyNumberFormat="1" applyFont="1" applyBorder="1" applyAlignment="1"/>
    <xf numFmtId="49" fontId="9" fillId="0" borderId="5" xfId="0" applyNumberFormat="1" applyFont="1" applyBorder="1" applyAlignment="1">
      <alignment horizontal="left" vertical="top" wrapText="1"/>
    </xf>
    <xf numFmtId="49" fontId="9" fillId="7" borderId="5" xfId="0" applyNumberFormat="1" applyFont="1" applyFill="1" applyBorder="1" applyAlignment="1">
      <alignment horizontal="left" vertical="top" wrapText="1"/>
    </xf>
    <xf numFmtId="49" fontId="9" fillId="8" borderId="5" xfId="0" applyNumberFormat="1" applyFont="1" applyFill="1" applyBorder="1" applyAlignment="1">
      <alignment horizontal="left" vertical="top" wrapText="1"/>
    </xf>
    <xf numFmtId="49" fontId="9" fillId="9" borderId="5" xfId="0" applyNumberFormat="1" applyFont="1" applyFill="1" applyBorder="1" applyAlignment="1">
      <alignment horizontal="left" vertical="top" wrapText="1"/>
    </xf>
    <xf numFmtId="49" fontId="9" fillId="10" borderId="5" xfId="0" applyNumberFormat="1" applyFont="1" applyFill="1" applyBorder="1" applyAlignment="1">
      <alignment horizontal="left" vertical="top" wrapText="1"/>
    </xf>
    <xf numFmtId="49" fontId="9" fillId="11" borderId="5" xfId="0" applyNumberFormat="1" applyFont="1" applyFill="1" applyBorder="1" applyAlignment="1">
      <alignment horizontal="left" vertical="top" wrapText="1"/>
    </xf>
    <xf numFmtId="49" fontId="9" fillId="0" borderId="21" xfId="0" applyNumberFormat="1" applyFont="1" applyBorder="1" applyAlignment="1">
      <alignment horizontal="left" vertical="top" wrapText="1"/>
    </xf>
    <xf numFmtId="49" fontId="9" fillId="0" borderId="21" xfId="0" applyNumberFormat="1" applyFont="1" applyFill="1" applyBorder="1" applyAlignment="1">
      <alignment horizontal="left" vertical="top" wrapText="1"/>
    </xf>
    <xf numFmtId="1" fontId="36" fillId="0" borderId="5" xfId="0" applyNumberFormat="1" applyFont="1" applyFill="1" applyBorder="1"/>
    <xf numFmtId="176" fontId="37" fillId="0" borderId="5" xfId="0" applyNumberFormat="1" applyFont="1" applyBorder="1" applyAlignment="1"/>
    <xf numFmtId="177" fontId="37" fillId="4" borderId="5" xfId="0" applyNumberFormat="1" applyFont="1" applyFill="1" applyBorder="1"/>
    <xf numFmtId="168" fontId="10" fillId="0" borderId="5" xfId="0" applyNumberFormat="1" applyFont="1" applyBorder="1" applyAlignment="1"/>
    <xf numFmtId="177" fontId="36" fillId="12" borderId="5" xfId="0" applyNumberFormat="1" applyFont="1" applyFill="1" applyBorder="1"/>
    <xf numFmtId="168" fontId="0" fillId="0" borderId="5" xfId="0" applyNumberFormat="1" applyFont="1" applyFill="1" applyBorder="1" applyAlignment="1"/>
    <xf numFmtId="168" fontId="0" fillId="0" borderId="10" xfId="0" applyNumberFormat="1" applyFont="1" applyBorder="1" applyAlignment="1"/>
    <xf numFmtId="168" fontId="0" fillId="0" borderId="29" xfId="0" applyNumberFormat="1" applyFont="1" applyBorder="1" applyAlignment="1"/>
    <xf numFmtId="168" fontId="0" fillId="0" borderId="4" xfId="0" applyNumberFormat="1" applyFont="1" applyBorder="1" applyAlignment="1"/>
    <xf numFmtId="177" fontId="37" fillId="4" borderId="4" xfId="0" applyNumberFormat="1" applyFont="1" applyFill="1" applyBorder="1"/>
    <xf numFmtId="168" fontId="10" fillId="0" borderId="4" xfId="0" applyNumberFormat="1" applyFont="1" applyBorder="1" applyAlignment="1"/>
    <xf numFmtId="2" fontId="0" fillId="13" borderId="21" xfId="0" applyNumberFormat="1" applyFont="1" applyFill="1" applyBorder="1" applyAlignment="1"/>
    <xf numFmtId="6" fontId="0" fillId="0" borderId="0" xfId="0" applyNumberFormat="1" applyFont="1" applyFill="1" applyBorder="1" applyAlignment="1"/>
    <xf numFmtId="171" fontId="0" fillId="0" borderId="0" xfId="0" applyNumberFormat="1" applyFont="1" applyFill="1" applyBorder="1" applyAlignment="1"/>
    <xf numFmtId="6" fontId="10" fillId="3" borderId="0" xfId="0" applyNumberFormat="1" applyFont="1" applyFill="1" applyBorder="1" applyAlignment="1"/>
    <xf numFmtId="6" fontId="0" fillId="5" borderId="30" xfId="0" applyNumberFormat="1" applyFont="1" applyFill="1" applyBorder="1" applyAlignment="1"/>
    <xf numFmtId="164" fontId="14" fillId="0" borderId="4" xfId="0" applyNumberFormat="1" applyFont="1" applyBorder="1" applyAlignment="1"/>
    <xf numFmtId="0" fontId="20" fillId="0" borderId="11" xfId="0" applyFont="1" applyBorder="1" applyAlignment="1">
      <alignment horizontal="center" vertical="top" wrapText="1"/>
    </xf>
    <xf numFmtId="1" fontId="21" fillId="0" borderId="21" xfId="0" applyNumberFormat="1" applyFont="1" applyBorder="1" applyAlignment="1"/>
    <xf numFmtId="176" fontId="37" fillId="0" borderId="11" xfId="0" applyNumberFormat="1" applyFont="1" applyBorder="1" applyAlignment="1"/>
    <xf numFmtId="2" fontId="0" fillId="0" borderId="11" xfId="0" applyNumberFormat="1" applyFont="1" applyBorder="1" applyAlignment="1"/>
    <xf numFmtId="1" fontId="36" fillId="0" borderId="7" xfId="0" applyNumberFormat="1" applyFont="1" applyFill="1" applyBorder="1"/>
    <xf numFmtId="176" fontId="37" fillId="0" borderId="21" xfId="0" applyNumberFormat="1" applyFont="1" applyBorder="1" applyAlignment="1"/>
    <xf numFmtId="168" fontId="10" fillId="0" borderId="10" xfId="0" applyNumberFormat="1" applyFont="1" applyBorder="1" applyAlignment="1"/>
    <xf numFmtId="178" fontId="22" fillId="5" borderId="24" xfId="0" applyNumberFormat="1" applyFont="1" applyFill="1" applyBorder="1" applyAlignment="1"/>
    <xf numFmtId="2" fontId="22" fillId="5" borderId="20" xfId="0" applyNumberFormat="1" applyFont="1" applyFill="1" applyBorder="1" applyAlignment="1"/>
    <xf numFmtId="0" fontId="38" fillId="0" borderId="1" xfId="8" applyFont="1" applyBorder="1" applyAlignment="1"/>
    <xf numFmtId="0" fontId="37" fillId="0" borderId="2" xfId="8" applyFont="1" applyBorder="1" applyAlignment="1"/>
    <xf numFmtId="0" fontId="37" fillId="0" borderId="0" xfId="8" applyFont="1" applyAlignment="1"/>
    <xf numFmtId="0" fontId="6" fillId="0" borderId="0" xfId="8" applyFont="1" applyAlignment="1"/>
    <xf numFmtId="0" fontId="6" fillId="0" borderId="0" xfId="8" applyFont="1" applyAlignment="1"/>
    <xf numFmtId="0" fontId="40" fillId="0" borderId="0" xfId="8" applyFont="1" applyAlignment="1"/>
    <xf numFmtId="0" fontId="41" fillId="0" borderId="0" xfId="8" applyFont="1" applyAlignment="1"/>
    <xf numFmtId="0" fontId="36" fillId="0" borderId="0" xfId="8" applyFont="1"/>
    <xf numFmtId="164" fontId="42" fillId="0" borderId="5" xfId="8" applyNumberFormat="1" applyFont="1" applyBorder="1" applyAlignment="1"/>
    <xf numFmtId="165" fontId="43" fillId="0" borderId="5" xfId="8" applyNumberFormat="1" applyFont="1" applyBorder="1" applyAlignment="1"/>
    <xf numFmtId="166" fontId="42" fillId="0" borderId="11" xfId="8" applyNumberFormat="1" applyFont="1" applyBorder="1" applyAlignment="1"/>
    <xf numFmtId="0" fontId="45" fillId="0" borderId="0" xfId="8" applyFont="1" applyAlignment="1"/>
    <xf numFmtId="0" fontId="36" fillId="0" borderId="0" xfId="8" applyFont="1" applyAlignment="1"/>
    <xf numFmtId="0" fontId="44" fillId="14" borderId="5" xfId="8" applyFont="1" applyFill="1" applyBorder="1" applyAlignment="1"/>
    <xf numFmtId="0" fontId="44" fillId="0" borderId="0" xfId="8" applyFont="1" applyAlignment="1"/>
    <xf numFmtId="1" fontId="46" fillId="0" borderId="5" xfId="8" applyNumberFormat="1" applyFont="1" applyBorder="1" applyAlignment="1"/>
    <xf numFmtId="1" fontId="47" fillId="14" borderId="5" xfId="8" applyNumberFormat="1" applyFont="1" applyFill="1" applyBorder="1" applyAlignment="1"/>
    <xf numFmtId="166" fontId="43" fillId="0" borderId="5" xfId="8" applyNumberFormat="1" applyFont="1" applyBorder="1" applyAlignment="1"/>
    <xf numFmtId="9" fontId="42" fillId="0" borderId="5" xfId="8" applyNumberFormat="1" applyFont="1" applyBorder="1" applyAlignment="1"/>
    <xf numFmtId="0" fontId="37" fillId="4" borderId="0" xfId="8" applyFont="1" applyFill="1" applyAlignment="1"/>
    <xf numFmtId="49" fontId="37" fillId="4" borderId="0" xfId="8" applyNumberFormat="1" applyFont="1" applyFill="1" applyAlignment="1">
      <alignment horizontal="left" vertical="top" wrapText="1"/>
    </xf>
    <xf numFmtId="167" fontId="42" fillId="4" borderId="0" xfId="8" applyNumberFormat="1" applyFont="1" applyFill="1" applyAlignment="1"/>
    <xf numFmtId="49" fontId="39" fillId="4" borderId="0" xfId="8" applyNumberFormat="1" applyFont="1" applyFill="1" applyAlignment="1"/>
    <xf numFmtId="167" fontId="42" fillId="0" borderId="5" xfId="8" applyNumberFormat="1" applyFont="1" applyBorder="1" applyAlignment="1"/>
    <xf numFmtId="168" fontId="47" fillId="14" borderId="5" xfId="8" applyNumberFormat="1" applyFont="1" applyFill="1" applyBorder="1" applyAlignment="1"/>
    <xf numFmtId="167" fontId="43" fillId="0" borderId="5" xfId="8" applyNumberFormat="1" applyFont="1" applyBorder="1" applyAlignment="1"/>
    <xf numFmtId="176" fontId="42" fillId="0" borderId="5" xfId="8" applyNumberFormat="1" applyFont="1" applyBorder="1" applyAlignment="1"/>
    <xf numFmtId="3" fontId="42" fillId="0" borderId="5" xfId="8" applyNumberFormat="1" applyFont="1" applyBorder="1" applyAlignment="1"/>
    <xf numFmtId="166" fontId="42" fillId="0" borderId="5" xfId="8" applyNumberFormat="1" applyFont="1" applyBorder="1" applyAlignment="1"/>
    <xf numFmtId="177" fontId="44" fillId="14" borderId="5" xfId="8" applyNumberFormat="1" applyFont="1" applyFill="1" applyBorder="1" applyAlignment="1"/>
    <xf numFmtId="9" fontId="42" fillId="0" borderId="11" xfId="8" applyNumberFormat="1" applyFont="1" applyBorder="1" applyAlignment="1"/>
    <xf numFmtId="49" fontId="37" fillId="0" borderId="0" xfId="8" applyNumberFormat="1" applyFont="1" applyAlignment="1">
      <alignment horizontal="left" vertical="top" wrapText="1"/>
    </xf>
    <xf numFmtId="49" fontId="36" fillId="0" borderId="0" xfId="8" applyNumberFormat="1" applyFont="1" applyAlignment="1">
      <alignment horizontal="left" vertical="top" wrapText="1"/>
    </xf>
    <xf numFmtId="164" fontId="42" fillId="0" borderId="0" xfId="8" applyNumberFormat="1" applyFont="1" applyAlignment="1"/>
    <xf numFmtId="0" fontId="38" fillId="0" borderId="0" xfId="8" applyFont="1" applyAlignment="1"/>
    <xf numFmtId="0" fontId="37" fillId="0" borderId="0" xfId="8" applyFont="1" applyAlignment="1">
      <alignment wrapText="1"/>
    </xf>
    <xf numFmtId="0" fontId="10" fillId="0" borderId="0" xfId="8" applyFont="1" applyBorder="1"/>
    <xf numFmtId="0" fontId="37" fillId="0" borderId="0" xfId="8" applyFont="1" applyAlignment="1">
      <alignment vertical="top"/>
    </xf>
    <xf numFmtId="49" fontId="39" fillId="15" borderId="5" xfId="8" applyNumberFormat="1" applyFont="1" applyFill="1" applyBorder="1" applyAlignment="1">
      <alignment horizontal="left" vertical="top" wrapText="1"/>
    </xf>
    <xf numFmtId="49" fontId="39" fillId="16" borderId="5" xfId="8" applyNumberFormat="1" applyFont="1" applyFill="1" applyBorder="1" applyAlignment="1">
      <alignment horizontal="left" vertical="top" wrapText="1"/>
    </xf>
    <xf numFmtId="0" fontId="45" fillId="16" borderId="5" xfId="8" applyFont="1" applyFill="1" applyBorder="1" applyAlignment="1">
      <alignment horizontal="left" vertical="top" wrapText="1"/>
    </xf>
    <xf numFmtId="49" fontId="39" fillId="12" borderId="5" xfId="8" applyNumberFormat="1" applyFont="1" applyFill="1" applyBorder="1" applyAlignment="1">
      <alignment horizontal="left" vertical="top" wrapText="1"/>
    </xf>
    <xf numFmtId="0" fontId="45" fillId="12" borderId="5" xfId="8" applyFont="1" applyFill="1" applyBorder="1" applyAlignment="1">
      <alignment horizontal="left" vertical="top" wrapText="1"/>
    </xf>
    <xf numFmtId="49" fontId="39" fillId="17" borderId="5" xfId="8" applyNumberFormat="1" applyFont="1" applyFill="1" applyBorder="1" applyAlignment="1">
      <alignment horizontal="left" vertical="top" wrapText="1"/>
    </xf>
    <xf numFmtId="0" fontId="45" fillId="17" borderId="0" xfId="8" applyFont="1" applyFill="1" applyAlignment="1">
      <alignment horizontal="left" vertical="top" wrapText="1"/>
    </xf>
    <xf numFmtId="49" fontId="39" fillId="18" borderId="5" xfId="8" applyNumberFormat="1" applyFont="1" applyFill="1" applyBorder="1" applyAlignment="1">
      <alignment horizontal="left" vertical="top" wrapText="1"/>
    </xf>
    <xf numFmtId="49" fontId="39" fillId="18" borderId="12" xfId="8" applyNumberFormat="1" applyFont="1" applyFill="1" applyBorder="1" applyAlignment="1">
      <alignment horizontal="left" vertical="top" wrapText="1"/>
    </xf>
    <xf numFmtId="0" fontId="36" fillId="0" borderId="0" xfId="8" applyFont="1" applyAlignment="1">
      <alignment horizontal="left" vertical="top"/>
    </xf>
    <xf numFmtId="0" fontId="37" fillId="0" borderId="0" xfId="8" applyFont="1" applyAlignment="1">
      <alignment horizontal="left" vertical="top"/>
    </xf>
    <xf numFmtId="0" fontId="37" fillId="0" borderId="5" xfId="8" applyFont="1" applyBorder="1" applyAlignment="1"/>
    <xf numFmtId="1" fontId="37" fillId="4" borderId="5" xfId="8" applyNumberFormat="1" applyFont="1" applyFill="1" applyBorder="1" applyAlignment="1"/>
    <xf numFmtId="172" fontId="37" fillId="0" borderId="5" xfId="8" applyNumberFormat="1" applyFont="1" applyBorder="1" applyAlignment="1">
      <alignment vertical="top"/>
    </xf>
    <xf numFmtId="177" fontId="36" fillId="16" borderId="5" xfId="8" applyNumberFormat="1" applyFont="1" applyFill="1" applyBorder="1"/>
    <xf numFmtId="1" fontId="36" fillId="0" borderId="5" xfId="8" applyNumberFormat="1" applyFont="1" applyFill="1" applyBorder="1"/>
    <xf numFmtId="176" fontId="37" fillId="0" borderId="5" xfId="8" applyNumberFormat="1" applyFont="1" applyBorder="1" applyAlignment="1"/>
    <xf numFmtId="177" fontId="37" fillId="4" borderId="5" xfId="8" applyNumberFormat="1" applyFont="1" applyFill="1" applyBorder="1"/>
    <xf numFmtId="177" fontId="37" fillId="0" borderId="5" xfId="8" applyNumberFormat="1" applyFont="1" applyBorder="1" applyAlignment="1"/>
    <xf numFmtId="177" fontId="36" fillId="12" borderId="5" xfId="8" applyNumberFormat="1" applyFont="1" applyFill="1" applyBorder="1"/>
    <xf numFmtId="179" fontId="37" fillId="0" borderId="5" xfId="8" applyNumberFormat="1" applyFont="1" applyBorder="1" applyAlignment="1"/>
    <xf numFmtId="177" fontId="36" fillId="17" borderId="5" xfId="8" applyNumberFormat="1" applyFont="1" applyFill="1" applyBorder="1"/>
    <xf numFmtId="177" fontId="37" fillId="15" borderId="5" xfId="8" applyNumberFormat="1" applyFont="1" applyFill="1" applyBorder="1" applyAlignment="1"/>
    <xf numFmtId="167" fontId="37" fillId="0" borderId="5" xfId="8" applyNumberFormat="1" applyFont="1" applyBorder="1" applyAlignment="1"/>
    <xf numFmtId="176" fontId="36" fillId="0" borderId="5" xfId="8" applyNumberFormat="1" applyFont="1" applyBorder="1" applyAlignment="1"/>
    <xf numFmtId="176" fontId="39" fillId="0" borderId="5" xfId="8" applyNumberFormat="1" applyFont="1" applyFill="1" applyBorder="1" applyAlignment="1"/>
    <xf numFmtId="9" fontId="36" fillId="0" borderId="0" xfId="8" applyNumberFormat="1" applyFont="1"/>
    <xf numFmtId="172" fontId="37" fillId="0" borderId="5" xfId="8" applyNumberFormat="1" applyFont="1" applyBorder="1" applyAlignment="1"/>
    <xf numFmtId="176" fontId="39" fillId="18" borderId="5" xfId="8" applyNumberFormat="1" applyFont="1" applyFill="1" applyBorder="1" applyAlignment="1"/>
    <xf numFmtId="0" fontId="37" fillId="0" borderId="11" xfId="8" applyFont="1" applyBorder="1" applyAlignment="1"/>
    <xf numFmtId="1" fontId="37" fillId="4" borderId="11" xfId="8" applyNumberFormat="1" applyFont="1" applyFill="1" applyBorder="1" applyAlignment="1"/>
    <xf numFmtId="172" fontId="37" fillId="0" borderId="11" xfId="8" applyNumberFormat="1" applyFont="1" applyBorder="1" applyAlignment="1"/>
    <xf numFmtId="177" fontId="36" fillId="16" borderId="11" xfId="8" applyNumberFormat="1" applyFont="1" applyFill="1" applyBorder="1"/>
    <xf numFmtId="1" fontId="36" fillId="0" borderId="11" xfId="8" applyNumberFormat="1" applyFont="1" applyFill="1" applyBorder="1"/>
    <xf numFmtId="176" fontId="37" fillId="0" borderId="11" xfId="8" applyNumberFormat="1" applyFont="1" applyBorder="1" applyAlignment="1"/>
    <xf numFmtId="177" fontId="37" fillId="4" borderId="11" xfId="8" applyNumberFormat="1" applyFont="1" applyFill="1" applyBorder="1"/>
    <xf numFmtId="177" fontId="37" fillId="0" borderId="11" xfId="8" applyNumberFormat="1" applyFont="1" applyBorder="1" applyAlignment="1"/>
    <xf numFmtId="179" fontId="37" fillId="0" borderId="11" xfId="8" applyNumberFormat="1" applyFont="1" applyBorder="1" applyAlignment="1"/>
    <xf numFmtId="177" fontId="36" fillId="17" borderId="11" xfId="8" applyNumberFormat="1" applyFont="1" applyFill="1" applyBorder="1"/>
    <xf numFmtId="177" fontId="37" fillId="15" borderId="11" xfId="8" applyNumberFormat="1" applyFont="1" applyFill="1" applyBorder="1" applyAlignment="1"/>
    <xf numFmtId="176" fontId="36" fillId="0" borderId="11" xfId="8" applyNumberFormat="1" applyFont="1" applyBorder="1" applyAlignment="1"/>
    <xf numFmtId="0" fontId="37" fillId="0" borderId="21" xfId="8" applyFont="1" applyBorder="1" applyAlignment="1"/>
    <xf numFmtId="9" fontId="36" fillId="0" borderId="0" xfId="8" applyNumberFormat="1" applyFont="1" applyBorder="1"/>
    <xf numFmtId="0" fontId="36" fillId="0" borderId="0" xfId="8" applyFont="1" applyBorder="1"/>
    <xf numFmtId="0" fontId="37" fillId="0" borderId="0" xfId="8" applyFont="1" applyBorder="1" applyAlignment="1"/>
    <xf numFmtId="0" fontId="39" fillId="0" borderId="9" xfId="8" applyFont="1" applyBorder="1" applyAlignment="1">
      <alignment horizontal="right"/>
    </xf>
    <xf numFmtId="1" fontId="39" fillId="0" borderId="9" xfId="8" applyNumberFormat="1" applyFont="1" applyBorder="1" applyAlignment="1"/>
    <xf numFmtId="0" fontId="36" fillId="0" borderId="9" xfId="8" applyFont="1" applyBorder="1"/>
    <xf numFmtId="176" fontId="45" fillId="0" borderId="9" xfId="8" applyNumberFormat="1" applyFont="1" applyBorder="1"/>
    <xf numFmtId="170" fontId="39" fillId="0" borderId="9" xfId="8" applyNumberFormat="1" applyFont="1" applyBorder="1" applyAlignment="1"/>
    <xf numFmtId="177" fontId="45" fillId="0" borderId="9" xfId="8" applyNumberFormat="1" applyFont="1" applyBorder="1"/>
    <xf numFmtId="177" fontId="39" fillId="0" borderId="9" xfId="8" applyNumberFormat="1" applyFont="1" applyBorder="1" applyAlignment="1"/>
    <xf numFmtId="167" fontId="37" fillId="0" borderId="9" xfId="8" applyNumberFormat="1" applyFont="1" applyBorder="1" applyAlignment="1"/>
    <xf numFmtId="0" fontId="37" fillId="0" borderId="9" xfId="8" applyFont="1" applyBorder="1" applyAlignment="1"/>
    <xf numFmtId="168" fontId="37" fillId="0" borderId="9" xfId="8" applyNumberFormat="1" applyFont="1" applyBorder="1" applyAlignment="1"/>
    <xf numFmtId="0" fontId="39" fillId="0" borderId="0" xfId="8" applyFont="1" applyBorder="1" applyAlignment="1"/>
    <xf numFmtId="1" fontId="37" fillId="0" borderId="0" xfId="8" applyNumberFormat="1" applyFont="1" applyAlignment="1"/>
    <xf numFmtId="0" fontId="39" fillId="0" borderId="0" xfId="8" applyFont="1" applyAlignment="1"/>
    <xf numFmtId="6" fontId="45" fillId="5" borderId="16" xfId="8" applyNumberFormat="1" applyFont="1" applyFill="1" applyBorder="1" applyAlignment="1"/>
    <xf numFmtId="166" fontId="45" fillId="0" borderId="0" xfId="8" applyNumberFormat="1" applyFont="1" applyAlignment="1"/>
    <xf numFmtId="1" fontId="39" fillId="5" borderId="31" xfId="8" applyNumberFormat="1" applyFont="1" applyFill="1" applyBorder="1" applyAlignment="1"/>
    <xf numFmtId="166" fontId="45" fillId="6" borderId="21" xfId="8" applyNumberFormat="1" applyFont="1" applyFill="1" applyBorder="1" applyAlignment="1"/>
    <xf numFmtId="166" fontId="42" fillId="4" borderId="0" xfId="8" applyNumberFormat="1" applyFont="1" applyFill="1" applyBorder="1" applyAlignment="1"/>
    <xf numFmtId="49" fontId="37" fillId="4" borderId="0" xfId="8" applyNumberFormat="1" applyFont="1" applyFill="1" applyBorder="1" applyAlignment="1">
      <alignment horizontal="left" vertical="top"/>
    </xf>
    <xf numFmtId="1" fontId="39" fillId="4" borderId="0" xfId="8" applyNumberFormat="1" applyFont="1" applyFill="1" applyBorder="1" applyAlignment="1"/>
    <xf numFmtId="166" fontId="45" fillId="4" borderId="0" xfId="8" applyNumberFormat="1" applyFont="1" applyFill="1" applyBorder="1" applyAlignment="1"/>
    <xf numFmtId="173" fontId="39" fillId="4" borderId="5" xfId="8" applyNumberFormat="1" applyFont="1" applyFill="1" applyBorder="1" applyAlignment="1"/>
    <xf numFmtId="0" fontId="37" fillId="4" borderId="0" xfId="8" applyFont="1" applyFill="1" applyBorder="1" applyAlignment="1"/>
    <xf numFmtId="164" fontId="39" fillId="4" borderId="5" xfId="8" applyNumberFormat="1" applyFont="1" applyFill="1" applyBorder="1" applyAlignment="1"/>
    <xf numFmtId="166" fontId="36" fillId="4" borderId="0" xfId="8" applyNumberFormat="1" applyFont="1" applyFill="1" applyBorder="1" applyAlignment="1"/>
    <xf numFmtId="0" fontId="4" fillId="0" borderId="0" xfId="8" applyFont="1"/>
    <xf numFmtId="0" fontId="6" fillId="0" borderId="0" xfId="8"/>
    <xf numFmtId="0" fontId="34" fillId="0" borderId="21" xfId="8" applyFont="1" applyBorder="1"/>
    <xf numFmtId="1" fontId="6" fillId="0" borderId="21" xfId="8" applyNumberFormat="1" applyBorder="1"/>
    <xf numFmtId="0" fontId="39" fillId="0" borderId="22" xfId="8" applyFont="1" applyBorder="1" applyAlignment="1"/>
    <xf numFmtId="0" fontId="42" fillId="0" borderId="5" xfId="8" applyFont="1" applyBorder="1" applyAlignment="1"/>
    <xf numFmtId="0" fontId="39" fillId="0" borderId="5" xfId="8" applyFont="1" applyBorder="1" applyAlignment="1"/>
    <xf numFmtId="0" fontId="39" fillId="0" borderId="5" xfId="8" applyFont="1" applyBorder="1" applyAlignment="1">
      <alignment horizontal="center" vertical="top" wrapText="1"/>
    </xf>
    <xf numFmtId="0" fontId="39" fillId="0" borderId="7" xfId="8" applyFont="1" applyBorder="1" applyAlignment="1">
      <alignment horizontal="center" vertical="top" wrapText="1"/>
    </xf>
    <xf numFmtId="0" fontId="37" fillId="0" borderId="6" xfId="8" applyFont="1" applyBorder="1" applyAlignment="1">
      <alignment horizontal="right"/>
    </xf>
    <xf numFmtId="1" fontId="42" fillId="0" borderId="5" xfId="8" applyNumberFormat="1" applyFont="1" applyBorder="1" applyAlignment="1"/>
    <xf numFmtId="2" fontId="42" fillId="0" borderId="5" xfId="8" applyNumberFormat="1" applyFont="1" applyBorder="1" applyAlignment="1"/>
    <xf numFmtId="1" fontId="36" fillId="0" borderId="7" xfId="8" applyNumberFormat="1" applyFont="1" applyBorder="1" applyAlignment="1"/>
    <xf numFmtId="1" fontId="37" fillId="0" borderId="5" xfId="8" applyNumberFormat="1" applyFont="1" applyBorder="1" applyAlignment="1"/>
    <xf numFmtId="0" fontId="39" fillId="0" borderId="6" xfId="8" applyFont="1" applyBorder="1" applyAlignment="1">
      <alignment horizontal="right"/>
    </xf>
    <xf numFmtId="1" fontId="39" fillId="0" borderId="7" xfId="8" applyNumberFormat="1" applyFont="1" applyBorder="1" applyAlignment="1"/>
    <xf numFmtId="1" fontId="45" fillId="0" borderId="5" xfId="8" applyNumberFormat="1" applyFont="1" applyBorder="1" applyAlignment="1"/>
    <xf numFmtId="1" fontId="39" fillId="0" borderId="5" xfId="8" applyNumberFormat="1" applyFont="1" applyBorder="1" applyAlignment="1"/>
    <xf numFmtId="170" fontId="39" fillId="0" borderId="5" xfId="8" applyNumberFormat="1" applyFont="1" applyBorder="1" applyAlignment="1"/>
    <xf numFmtId="0" fontId="39" fillId="0" borderId="0" xfId="8" applyFont="1" applyAlignment="1">
      <alignment horizontal="right"/>
    </xf>
    <xf numFmtId="0" fontId="45" fillId="0" borderId="0" xfId="8" applyFont="1" applyAlignment="1">
      <alignment horizontal="right"/>
    </xf>
    <xf numFmtId="164" fontId="36" fillId="0" borderId="0" xfId="8" applyNumberFormat="1" applyFont="1" applyAlignment="1"/>
    <xf numFmtId="1" fontId="36" fillId="0" borderId="0" xfId="8" applyNumberFormat="1" applyFont="1" applyAlignment="1"/>
    <xf numFmtId="2" fontId="37" fillId="0" borderId="0" xfId="8" applyNumberFormat="1" applyFont="1" applyAlignment="1"/>
    <xf numFmtId="1" fontId="36" fillId="14" borderId="5" xfId="8" applyNumberFormat="1" applyFont="1" applyFill="1" applyBorder="1" applyAlignment="1"/>
    <xf numFmtId="9" fontId="36" fillId="14" borderId="5" xfId="8" applyNumberFormat="1" applyFont="1" applyFill="1" applyBorder="1" applyAlignment="1"/>
    <xf numFmtId="1" fontId="42" fillId="0" borderId="21" xfId="8" applyNumberFormat="1" applyFont="1" applyBorder="1"/>
    <xf numFmtId="0" fontId="11" fillId="0" borderId="21" xfId="5" applyFont="1" applyBorder="1" applyAlignment="1"/>
    <xf numFmtId="0" fontId="11" fillId="0" borderId="11" xfId="5" applyFont="1" applyBorder="1" applyAlignment="1">
      <alignment wrapText="1"/>
    </xf>
    <xf numFmtId="0" fontId="11" fillId="0" borderId="21" xfId="5" applyFont="1" applyBorder="1" applyAlignment="1">
      <alignment wrapText="1"/>
    </xf>
    <xf numFmtId="6" fontId="6" fillId="0" borderId="21" xfId="5" applyNumberFormat="1" applyFont="1" applyBorder="1" applyAlignment="1"/>
    <xf numFmtId="0" fontId="26" fillId="0" borderId="5" xfId="0" applyFont="1" applyBorder="1" applyAlignment="1"/>
    <xf numFmtId="0" fontId="29" fillId="0" borderId="5" xfId="0" applyFont="1" applyBorder="1" applyAlignment="1"/>
    <xf numFmtId="9" fontId="29" fillId="0" borderId="5" xfId="0" applyNumberFormat="1" applyFont="1" applyBorder="1" applyAlignment="1"/>
    <xf numFmtId="0" fontId="26" fillId="0" borderId="21" xfId="0" applyNumberFormat="1" applyFont="1" applyBorder="1"/>
    <xf numFmtId="0" fontId="48" fillId="0" borderId="21" xfId="0" applyFont="1" applyBorder="1"/>
    <xf numFmtId="0" fontId="26" fillId="0" borderId="21" xfId="0" applyFont="1" applyBorder="1"/>
    <xf numFmtId="1" fontId="26" fillId="0" borderId="21" xfId="0" applyNumberFormat="1" applyFont="1" applyBorder="1"/>
    <xf numFmtId="0" fontId="49" fillId="0" borderId="0" xfId="5" applyFont="1" applyAlignment="1"/>
    <xf numFmtId="168" fontId="11" fillId="0" borderId="11" xfId="0" applyNumberFormat="1" applyFont="1" applyBorder="1" applyAlignment="1"/>
    <xf numFmtId="180" fontId="10" fillId="0" borderId="11" xfId="5" applyNumberFormat="1" applyFont="1" applyBorder="1"/>
    <xf numFmtId="181" fontId="10" fillId="0" borderId="11" xfId="1" applyNumberFormat="1" applyFont="1" applyBorder="1"/>
    <xf numFmtId="181" fontId="6" fillId="0" borderId="21" xfId="1" applyNumberFormat="1" applyFont="1" applyBorder="1" applyAlignment="1"/>
    <xf numFmtId="0" fontId="10" fillId="20" borderId="0" xfId="5" applyFont="1" applyFill="1" applyAlignment="1"/>
    <xf numFmtId="0" fontId="6" fillId="20" borderId="0" xfId="5" applyFont="1" applyFill="1" applyAlignment="1"/>
    <xf numFmtId="0" fontId="5" fillId="20" borderId="0" xfId="4" applyFill="1" applyAlignment="1"/>
    <xf numFmtId="0" fontId="9" fillId="20" borderId="5" xfId="5" applyFont="1" applyFill="1" applyBorder="1" applyAlignment="1">
      <alignment wrapText="1"/>
    </xf>
    <xf numFmtId="9" fontId="11" fillId="20" borderId="11" xfId="5" applyNumberFormat="1" applyFont="1" applyFill="1" applyBorder="1" applyAlignment="1"/>
    <xf numFmtId="9" fontId="33" fillId="20" borderId="21" xfId="5" applyNumberFormat="1" applyFont="1" applyFill="1" applyBorder="1" applyAlignment="1"/>
    <xf numFmtId="0" fontId="11" fillId="20" borderId="11" xfId="5" applyFont="1" applyFill="1" applyBorder="1" applyAlignment="1"/>
    <xf numFmtId="0" fontId="11" fillId="20" borderId="21" xfId="5" applyFont="1" applyFill="1" applyBorder="1" applyAlignment="1"/>
    <xf numFmtId="0" fontId="10" fillId="21" borderId="0" xfId="5" applyFont="1" applyFill="1" applyAlignment="1"/>
    <xf numFmtId="181" fontId="30" fillId="0" borderId="21" xfId="1" applyNumberFormat="1" applyFont="1" applyBorder="1" applyAlignment="1"/>
    <xf numFmtId="0" fontId="6" fillId="0" borderId="7" xfId="5" applyFont="1" applyBorder="1" applyAlignment="1">
      <alignment wrapText="1"/>
    </xf>
    <xf numFmtId="166" fontId="11" fillId="0" borderId="5" xfId="0" applyNumberFormat="1" applyFont="1" applyBorder="1" applyAlignment="1"/>
    <xf numFmtId="168" fontId="19" fillId="0" borderId="11" xfId="0" applyNumberFormat="1" applyFont="1" applyBorder="1" applyAlignment="1"/>
    <xf numFmtId="169" fontId="6" fillId="0" borderId="21" xfId="5" applyNumberFormat="1" applyFont="1" applyBorder="1" applyAlignment="1"/>
    <xf numFmtId="169" fontId="30" fillId="0" borderId="21" xfId="2" applyNumberFormat="1" applyFont="1" applyBorder="1" applyAlignment="1"/>
    <xf numFmtId="0" fontId="23" fillId="20" borderId="5" xfId="5" applyFont="1" applyFill="1" applyBorder="1" applyAlignment="1">
      <alignment wrapText="1"/>
    </xf>
    <xf numFmtId="181" fontId="13" fillId="0" borderId="21" xfId="1" applyNumberFormat="1" applyFont="1" applyBorder="1"/>
    <xf numFmtId="169" fontId="30" fillId="0" borderId="21" xfId="5" applyNumberFormat="1" applyFont="1" applyBorder="1" applyAlignment="1"/>
    <xf numFmtId="169" fontId="6" fillId="0" borderId="21" xfId="2" applyNumberFormat="1" applyFont="1" applyBorder="1" applyAlignment="1"/>
    <xf numFmtId="164" fontId="6" fillId="0" borderId="21" xfId="5" applyNumberFormat="1" applyFont="1" applyBorder="1" applyAlignment="1"/>
    <xf numFmtId="172" fontId="11" fillId="0" borderId="21" xfId="0" applyNumberFormat="1" applyFont="1" applyBorder="1" applyAlignment="1"/>
    <xf numFmtId="181" fontId="19" fillId="0" borderId="21" xfId="1" applyNumberFormat="1" applyFont="1" applyBorder="1" applyAlignment="1"/>
    <xf numFmtId="182" fontId="37" fillId="0" borderId="5" xfId="8" applyNumberFormat="1" applyFont="1" applyBorder="1" applyAlignment="1"/>
    <xf numFmtId="0" fontId="10" fillId="20" borderId="0" xfId="5" applyFont="1" applyFill="1" applyAlignment="1"/>
    <xf numFmtId="176" fontId="37" fillId="4" borderId="5" xfId="0" applyNumberFormat="1" applyFont="1" applyFill="1" applyBorder="1"/>
    <xf numFmtId="176" fontId="37" fillId="4" borderId="11" xfId="0" applyNumberFormat="1" applyFont="1" applyFill="1" applyBorder="1"/>
    <xf numFmtId="176" fontId="37" fillId="4" borderId="21" xfId="0" applyNumberFormat="1" applyFont="1" applyFill="1" applyBorder="1"/>
    <xf numFmtId="176" fontId="37" fillId="4" borderId="4" xfId="0" applyNumberFormat="1" applyFont="1" applyFill="1" applyBorder="1"/>
    <xf numFmtId="176" fontId="36" fillId="12" borderId="5" xfId="0" applyNumberFormat="1" applyFont="1" applyFill="1" applyBorder="1"/>
    <xf numFmtId="180" fontId="13" fillId="0" borderId="21" xfId="5" applyNumberFormat="1" applyFont="1" applyBorder="1"/>
    <xf numFmtId="164" fontId="44" fillId="14" borderId="5" xfId="8" applyNumberFormat="1" applyFont="1" applyFill="1" applyBorder="1" applyAlignment="1"/>
    <xf numFmtId="169" fontId="43" fillId="0" borderId="5" xfId="8" applyNumberFormat="1" applyFont="1" applyBorder="1" applyAlignment="1"/>
    <xf numFmtId="0" fontId="0" fillId="0" borderId="21" xfId="0" applyBorder="1" applyAlignment="1">
      <alignment horizontal="center"/>
    </xf>
    <xf numFmtId="14" fontId="0" fillId="0" borderId="21" xfId="0" applyNumberFormat="1" applyBorder="1" applyAlignment="1">
      <alignment horizontal="center"/>
    </xf>
    <xf numFmtId="0" fontId="0" fillId="0" borderId="21" xfId="0" applyBorder="1" applyAlignment="1">
      <alignment horizontal="left" wrapText="1"/>
    </xf>
    <xf numFmtId="0" fontId="32"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0" fontId="10" fillId="20" borderId="0" xfId="5" applyFont="1" applyFill="1" applyAlignment="1">
      <alignment wrapText="1"/>
    </xf>
    <xf numFmtId="0" fontId="10" fillId="20" borderId="0" xfId="5" applyFont="1" applyFill="1" applyAlignment="1"/>
    <xf numFmtId="0" fontId="24" fillId="19" borderId="0" xfId="5" applyFont="1" applyFill="1" applyAlignment="1">
      <alignment horizontal="center"/>
    </xf>
    <xf numFmtId="49" fontId="26" fillId="0" borderId="6" xfId="0" applyNumberFormat="1" applyFont="1" applyBorder="1" applyAlignment="1">
      <alignment horizontal="left" vertical="top"/>
    </xf>
    <xf numFmtId="0" fontId="14" fillId="0" borderId="3" xfId="0" applyFont="1" applyBorder="1"/>
    <xf numFmtId="0" fontId="14" fillId="0" borderId="4" xfId="0" applyFont="1" applyBorder="1"/>
    <xf numFmtId="0" fontId="2" fillId="2" borderId="0" xfId="3" applyAlignment="1">
      <alignment horizontal="center"/>
    </xf>
    <xf numFmtId="49" fontId="0" fillId="0" borderId="6" xfId="0" applyNumberFormat="1" applyFont="1" applyBorder="1" applyAlignment="1">
      <alignment horizontal="left" vertical="top" wrapText="1"/>
    </xf>
    <xf numFmtId="0" fontId="0" fillId="0" borderId="25" xfId="0" applyBorder="1" applyAlignment="1"/>
    <xf numFmtId="0" fontId="0" fillId="0" borderId="26" xfId="0" applyBorder="1" applyAlignment="1"/>
    <xf numFmtId="0" fontId="0" fillId="0" borderId="27" xfId="0" applyBorder="1" applyAlignment="1"/>
    <xf numFmtId="49" fontId="26" fillId="0" borderId="7" xfId="0" applyNumberFormat="1" applyFont="1" applyBorder="1" applyAlignment="1">
      <alignment horizontal="left" vertical="top" wrapText="1"/>
    </xf>
    <xf numFmtId="0" fontId="28" fillId="0" borderId="21" xfId="0" applyFont="1" applyBorder="1" applyAlignment="1"/>
    <xf numFmtId="49" fontId="28" fillId="0" borderId="21" xfId="0" applyNumberFormat="1" applyFont="1" applyBorder="1" applyAlignment="1">
      <alignment horizontal="left" vertical="top"/>
    </xf>
    <xf numFmtId="49" fontId="29" fillId="0" borderId="7" xfId="0" applyNumberFormat="1" applyFont="1" applyBorder="1" applyAlignment="1">
      <alignment horizontal="left" vertical="top" wrapText="1"/>
    </xf>
    <xf numFmtId="49" fontId="26" fillId="0" borderId="8" xfId="0" applyNumberFormat="1" applyFont="1" applyBorder="1" applyAlignment="1">
      <alignment horizontal="left" vertical="top"/>
    </xf>
    <xf numFmtId="0" fontId="14" fillId="0" borderId="9" xfId="0" applyFont="1" applyBorder="1"/>
    <xf numFmtId="49" fontId="14" fillId="0" borderId="6" xfId="5" applyNumberFormat="1" applyFont="1" applyBorder="1" applyAlignment="1">
      <alignment horizontal="left" vertical="top"/>
    </xf>
    <xf numFmtId="0" fontId="14" fillId="0" borderId="3" xfId="5" applyFont="1" applyBorder="1"/>
    <xf numFmtId="0" fontId="14" fillId="0" borderId="4" xfId="5" applyFont="1" applyBorder="1"/>
    <xf numFmtId="49" fontId="10" fillId="0" borderId="8" xfId="5" applyNumberFormat="1" applyFont="1" applyBorder="1" applyAlignment="1">
      <alignment horizontal="left" vertical="top" wrapText="1"/>
    </xf>
    <xf numFmtId="0" fontId="14" fillId="0" borderId="9" xfId="5" applyFont="1" applyBorder="1"/>
    <xf numFmtId="0" fontId="14" fillId="0" borderId="10" xfId="5" applyFont="1" applyBorder="1"/>
    <xf numFmtId="49" fontId="26" fillId="0" borderId="23" xfId="0" applyNumberFormat="1" applyFont="1" applyBorder="1" applyAlignment="1">
      <alignment horizontal="left" vertical="top" wrapText="1"/>
    </xf>
    <xf numFmtId="0" fontId="14" fillId="0" borderId="10" xfId="0" applyFont="1" applyBorder="1"/>
    <xf numFmtId="49" fontId="26" fillId="0" borderId="25" xfId="0" applyNumberFormat="1" applyFont="1" applyBorder="1" applyAlignment="1">
      <alignment horizontal="left" vertical="top"/>
    </xf>
    <xf numFmtId="49" fontId="26" fillId="0" borderId="26" xfId="0" applyNumberFormat="1" applyFont="1" applyBorder="1" applyAlignment="1">
      <alignment horizontal="left" vertical="top"/>
    </xf>
    <xf numFmtId="49" fontId="26" fillId="0" borderId="27" xfId="0" applyNumberFormat="1" applyFont="1" applyBorder="1" applyAlignment="1">
      <alignment horizontal="left" vertical="top"/>
    </xf>
    <xf numFmtId="49" fontId="0" fillId="0" borderId="23" xfId="0" applyNumberFormat="1" applyFont="1" applyBorder="1" applyAlignment="1">
      <alignment horizontal="left" vertical="top" wrapText="1"/>
    </xf>
    <xf numFmtId="49" fontId="0" fillId="0" borderId="21" xfId="0" applyNumberFormat="1" applyFont="1" applyBorder="1" applyAlignment="1">
      <alignment horizontal="left" vertical="top"/>
    </xf>
    <xf numFmtId="49" fontId="0" fillId="5" borderId="6" xfId="0" applyNumberFormat="1" applyFont="1" applyFill="1" applyBorder="1" applyAlignment="1">
      <alignment horizontal="left" vertical="top"/>
    </xf>
    <xf numFmtId="49" fontId="27" fillId="0" borderId="7" xfId="0" applyNumberFormat="1" applyFont="1" applyBorder="1" applyAlignment="1">
      <alignment horizontal="left" vertical="top" wrapText="1"/>
    </xf>
    <xf numFmtId="49" fontId="27" fillId="0" borderId="3" xfId="0" applyNumberFormat="1" applyFont="1" applyBorder="1" applyAlignment="1">
      <alignment horizontal="left" vertical="top" wrapText="1"/>
    </xf>
    <xf numFmtId="49" fontId="27" fillId="0" borderId="4" xfId="0" applyNumberFormat="1" applyFont="1" applyBorder="1" applyAlignment="1">
      <alignment horizontal="left" vertical="top" wrapText="1"/>
    </xf>
    <xf numFmtId="49" fontId="27" fillId="0" borderId="7" xfId="0" applyNumberFormat="1" applyFont="1" applyBorder="1" applyAlignment="1">
      <alignment horizontal="left" vertical="top"/>
    </xf>
    <xf numFmtId="49" fontId="27" fillId="0" borderId="3" xfId="0" applyNumberFormat="1" applyFont="1" applyBorder="1" applyAlignment="1">
      <alignment horizontal="left" vertical="top"/>
    </xf>
    <xf numFmtId="49" fontId="27" fillId="0" borderId="4" xfId="0" applyNumberFormat="1" applyFont="1" applyBorder="1" applyAlignment="1">
      <alignment horizontal="left" vertical="top"/>
    </xf>
    <xf numFmtId="0" fontId="27" fillId="0" borderId="7" xfId="0" applyFont="1" applyBorder="1" applyAlignment="1"/>
    <xf numFmtId="0" fontId="27" fillId="0" borderId="3" xfId="0" applyFont="1" applyBorder="1" applyAlignment="1"/>
    <xf numFmtId="0" fontId="27" fillId="0" borderId="4" xfId="0" applyFont="1" applyBorder="1" applyAlignment="1"/>
    <xf numFmtId="49" fontId="27" fillId="0" borderId="23" xfId="0" applyNumberFormat="1" applyFont="1" applyBorder="1" applyAlignment="1">
      <alignment horizontal="left" vertical="top"/>
    </xf>
    <xf numFmtId="49" fontId="27" fillId="0" borderId="21" xfId="0" applyNumberFormat="1" applyFont="1" applyBorder="1" applyAlignment="1">
      <alignment horizontal="left" vertical="top"/>
    </xf>
    <xf numFmtId="0" fontId="27" fillId="0" borderId="21" xfId="0" applyFont="1" applyBorder="1"/>
    <xf numFmtId="49" fontId="0" fillId="5" borderId="13" xfId="0" applyNumberFormat="1" applyFont="1" applyFill="1" applyBorder="1" applyAlignment="1">
      <alignment horizontal="left" vertical="top" wrapText="1"/>
    </xf>
    <xf numFmtId="0" fontId="14" fillId="0" borderId="14" xfId="0" applyFont="1" applyBorder="1"/>
    <xf numFmtId="0" fontId="14" fillId="0" borderId="15" xfId="0" applyFont="1" applyBorder="1"/>
    <xf numFmtId="49" fontId="27" fillId="0" borderId="25" xfId="0" applyNumberFormat="1" applyFont="1" applyBorder="1" applyAlignment="1">
      <alignment horizontal="left" vertical="top"/>
    </xf>
    <xf numFmtId="49" fontId="27" fillId="0" borderId="26" xfId="0" applyNumberFormat="1" applyFont="1" applyBorder="1" applyAlignment="1">
      <alignment horizontal="left" vertical="top"/>
    </xf>
    <xf numFmtId="49" fontId="27" fillId="0" borderId="27" xfId="0" applyNumberFormat="1" applyFont="1" applyBorder="1" applyAlignment="1">
      <alignment horizontal="left" vertical="top"/>
    </xf>
    <xf numFmtId="0" fontId="0" fillId="0" borderId="6" xfId="0" applyFont="1" applyBorder="1" applyAlignment="1">
      <alignment horizontal="right"/>
    </xf>
    <xf numFmtId="0" fontId="0" fillId="0" borderId="3" xfId="0" applyFont="1" applyBorder="1" applyAlignment="1">
      <alignment horizontal="right"/>
    </xf>
    <xf numFmtId="49" fontId="0" fillId="5" borderId="3" xfId="0" applyNumberFormat="1" applyFont="1" applyFill="1" applyBorder="1" applyAlignment="1">
      <alignment horizontal="left" vertical="top"/>
    </xf>
    <xf numFmtId="49" fontId="0" fillId="5" borderId="4" xfId="0" applyNumberFormat="1" applyFont="1" applyFill="1" applyBorder="1" applyAlignment="1">
      <alignment horizontal="left" vertical="top"/>
    </xf>
    <xf numFmtId="49" fontId="0" fillId="5" borderId="17" xfId="0" applyNumberFormat="1" applyFont="1" applyFill="1" applyBorder="1" applyAlignment="1">
      <alignment horizontal="left" vertical="top"/>
    </xf>
    <xf numFmtId="0" fontId="14" fillId="0" borderId="18" xfId="0" applyFont="1" applyBorder="1"/>
    <xf numFmtId="0" fontId="14" fillId="0" borderId="19" xfId="0" applyFont="1" applyBorder="1"/>
    <xf numFmtId="0" fontId="0" fillId="0" borderId="21" xfId="0" applyBorder="1"/>
    <xf numFmtId="0" fontId="22" fillId="0" borderId="6" xfId="0" applyFont="1" applyBorder="1" applyAlignment="1">
      <alignment horizontal="right"/>
    </xf>
    <xf numFmtId="0" fontId="22" fillId="0" borderId="28" xfId="0" applyFont="1" applyBorder="1" applyAlignment="1">
      <alignment horizontal="right"/>
    </xf>
    <xf numFmtId="0" fontId="22" fillId="0" borderId="4" xfId="0" applyFont="1" applyBorder="1" applyAlignment="1">
      <alignment horizontal="right"/>
    </xf>
    <xf numFmtId="49" fontId="37" fillId="14" borderId="7" xfId="8" applyNumberFormat="1" applyFont="1" applyFill="1" applyBorder="1" applyAlignment="1">
      <alignment horizontal="left" vertical="top" wrapText="1"/>
    </xf>
    <xf numFmtId="0" fontId="10" fillId="0" borderId="3" xfId="8" applyFont="1" applyBorder="1"/>
    <xf numFmtId="0" fontId="10" fillId="0" borderId="4" xfId="8" applyFont="1" applyBorder="1"/>
    <xf numFmtId="49" fontId="37" fillId="4" borderId="7" xfId="8" applyNumberFormat="1" applyFont="1" applyFill="1" applyBorder="1" applyAlignment="1">
      <alignment horizontal="left" vertical="top" wrapText="1"/>
    </xf>
    <xf numFmtId="0" fontId="6" fillId="0" borderId="21" xfId="8" applyBorder="1"/>
    <xf numFmtId="49" fontId="37" fillId="0" borderId="7" xfId="8" applyNumberFormat="1" applyFont="1" applyBorder="1" applyAlignment="1">
      <alignment horizontal="left" vertical="top" wrapText="1"/>
    </xf>
    <xf numFmtId="49" fontId="37" fillId="0" borderId="7" xfId="8" applyNumberFormat="1" applyFont="1" applyBorder="1" applyAlignment="1">
      <alignment horizontal="left" vertical="top"/>
    </xf>
    <xf numFmtId="49" fontId="39" fillId="17" borderId="3" xfId="8" applyNumberFormat="1" applyFont="1" applyFill="1" applyBorder="1" applyAlignment="1">
      <alignment vertical="top" wrapText="1"/>
    </xf>
    <xf numFmtId="49" fontId="39" fillId="17" borderId="4" xfId="8" applyNumberFormat="1" applyFont="1" applyFill="1" applyBorder="1" applyAlignment="1">
      <alignment vertical="top" wrapText="1"/>
    </xf>
    <xf numFmtId="49" fontId="39" fillId="18" borderId="21" xfId="8" applyNumberFormat="1" applyFont="1" applyFill="1" applyBorder="1" applyAlignment="1">
      <alignment horizontal="left" vertical="top" wrapText="1"/>
    </xf>
    <xf numFmtId="49" fontId="37" fillId="5" borderId="13" xfId="8" applyNumberFormat="1" applyFont="1" applyFill="1" applyBorder="1" applyAlignment="1">
      <alignment horizontal="left" vertical="top" wrapText="1"/>
    </xf>
    <xf numFmtId="0" fontId="10" fillId="0" borderId="14" xfId="8" applyFont="1" applyBorder="1"/>
    <xf numFmtId="0" fontId="10" fillId="0" borderId="15" xfId="8" applyFont="1" applyBorder="1"/>
    <xf numFmtId="49" fontId="37" fillId="5" borderId="8" xfId="8" applyNumberFormat="1" applyFont="1" applyFill="1" applyBorder="1" applyAlignment="1">
      <alignment horizontal="left" vertical="top"/>
    </xf>
    <xf numFmtId="0" fontId="10" fillId="0" borderId="9" xfId="8" applyFont="1" applyBorder="1"/>
    <xf numFmtId="0" fontId="10" fillId="0" borderId="10" xfId="8" applyFont="1" applyBorder="1"/>
    <xf numFmtId="49" fontId="37" fillId="5" borderId="21" xfId="8" applyNumberFormat="1" applyFont="1" applyFill="1" applyBorder="1" applyAlignment="1">
      <alignment horizontal="left" vertical="top"/>
    </xf>
    <xf numFmtId="0" fontId="37" fillId="4" borderId="7" xfId="8" applyFont="1" applyFill="1" applyBorder="1" applyAlignment="1">
      <alignment horizontal="left" wrapText="1"/>
    </xf>
    <xf numFmtId="49" fontId="44" fillId="14" borderId="6" xfId="8" applyNumberFormat="1" applyFont="1" applyFill="1" applyBorder="1" applyAlignment="1">
      <alignment horizontal="left" vertical="top" wrapText="1"/>
    </xf>
    <xf numFmtId="49" fontId="37" fillId="0" borderId="6" xfId="8" applyNumberFormat="1" applyFont="1" applyBorder="1" applyAlignment="1">
      <alignment horizontal="left" vertical="top"/>
    </xf>
    <xf numFmtId="49" fontId="37" fillId="0" borderId="8" xfId="8" applyNumberFormat="1" applyFont="1" applyBorder="1" applyAlignment="1">
      <alignment horizontal="left" vertical="top" wrapText="1"/>
    </xf>
    <xf numFmtId="49" fontId="39" fillId="15" borderId="7" xfId="8" applyNumberFormat="1" applyFont="1" applyFill="1" applyBorder="1" applyAlignment="1">
      <alignment horizontal="left" vertical="top" wrapText="1"/>
    </xf>
    <xf numFmtId="49" fontId="39" fillId="16" borderId="7" xfId="8" applyNumberFormat="1" applyFont="1" applyFill="1" applyBorder="1" applyAlignment="1">
      <alignment horizontal="left" vertical="top" wrapText="1"/>
    </xf>
    <xf numFmtId="49" fontId="39" fillId="12" borderId="7" xfId="8" applyNumberFormat="1" applyFont="1" applyFill="1" applyBorder="1" applyAlignment="1">
      <alignment vertical="top" wrapText="1"/>
    </xf>
    <xf numFmtId="49" fontId="39" fillId="12" borderId="3" xfId="8" applyNumberFormat="1" applyFont="1" applyFill="1" applyBorder="1" applyAlignment="1">
      <alignment vertical="top" wrapText="1"/>
    </xf>
    <xf numFmtId="49" fontId="44" fillId="14" borderId="7" xfId="8" applyNumberFormat="1" applyFont="1" applyFill="1" applyBorder="1" applyAlignment="1">
      <alignment horizontal="left" vertical="top" wrapText="1"/>
    </xf>
    <xf numFmtId="49" fontId="37" fillId="0" borderId="6" xfId="8" applyNumberFormat="1" applyFont="1" applyBorder="1" applyAlignment="1">
      <alignment horizontal="left" vertical="top" wrapText="1"/>
    </xf>
    <xf numFmtId="49" fontId="44" fillId="14" borderId="7" xfId="8" applyNumberFormat="1" applyFont="1" applyFill="1" applyBorder="1" applyAlignment="1">
      <alignment horizontal="left" vertical="top"/>
    </xf>
    <xf numFmtId="0" fontId="39" fillId="5" borderId="0" xfId="8" applyFont="1" applyFill="1" applyAlignment="1">
      <alignment wrapText="1"/>
    </xf>
    <xf numFmtId="0" fontId="6" fillId="0" borderId="0" xfId="8" applyFont="1" applyAlignment="1"/>
    <xf numFmtId="49" fontId="39" fillId="0" borderId="0" xfId="8" applyNumberFormat="1" applyFont="1" applyAlignment="1">
      <alignment horizontal="left" vertical="top"/>
    </xf>
    <xf numFmtId="0" fontId="37" fillId="0" borderId="3" xfId="8" applyFont="1" applyBorder="1" applyAlignment="1">
      <alignment horizontal="left" vertical="top" wrapText="1"/>
    </xf>
    <xf numFmtId="0" fontId="36" fillId="0" borderId="21" xfId="8" applyFont="1" applyBorder="1" applyAlignment="1"/>
  </cellXfs>
  <cellStyles count="9">
    <cellStyle name="Hyperlinkki" xfId="4" builtinId="8"/>
    <cellStyle name="Hyperlinkki 2" xfId="6" xr:uid="{0398B2F8-8385-4A8E-92C4-87CCCA94BFE5}"/>
    <cellStyle name="Hyvä" xfId="3" builtinId="26"/>
    <cellStyle name="Normaali" xfId="0" builtinId="0"/>
    <cellStyle name="Normaali 2" xfId="5" xr:uid="{DDC5A503-C893-4762-B34F-F7DFCD048885}"/>
    <cellStyle name="Normaali 3" xfId="7" xr:uid="{224C039B-BA8F-47A0-9786-EBDC7268E006}"/>
    <cellStyle name="Normaali 4" xfId="8" xr:uid="{9E69AFA1-D646-480F-BBEA-5B6AC863C89E}"/>
    <cellStyle name="Prosenttia" xfId="2" builtinId="5"/>
    <cellStyle name="Valuutta" xfId="1" builtinId="4"/>
  </cellStyles>
  <dxfs count="2">
    <dxf>
      <font>
        <color rgb="FF006100"/>
      </font>
      <fill>
        <patternFill patternType="solid">
          <fgColor rgb="FFC6EFCE"/>
          <bgColor rgb="FFC6EFCE"/>
        </patternFill>
      </fill>
      <alignment wrapText="0" shrinkToFit="0"/>
      <border>
        <left/>
        <right/>
        <top/>
        <bottom/>
      </border>
    </dxf>
    <dxf>
      <font>
        <color rgb="FF006100"/>
      </font>
      <fill>
        <patternFill patternType="solid">
          <fgColor rgb="FFC6EFCE"/>
          <bgColor rgb="FFC6EFCE"/>
        </patternFill>
      </fill>
      <alignment wrapText="0" shrinkToFit="0"/>
      <border>
        <left/>
        <right/>
        <top/>
        <bottom/>
      </border>
    </dxf>
  </dxfs>
  <tableStyles count="0" defaultTableStyle="TableStyleMedium2" defaultPivotStyle="PivotStyleLight16"/>
  <colors>
    <mruColors>
      <color rgb="FF99FF99"/>
      <color rgb="FF66FF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Kumulatiivisten</a:t>
            </a:r>
            <a:r>
              <a:rPr lang="fi-FI" baseline="0"/>
              <a:t> kulujen vertailu</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'IVLP 20v kannattavuus'!$U$37</c:f>
              <c:strCache>
                <c:ptCount val="1"/>
                <c:pt idx="0">
                  <c:v>Nykyjärjestelmän kumulatiivinen kulu</c:v>
                </c:pt>
              </c:strCache>
            </c:strRef>
          </c:tx>
          <c:spPr>
            <a:ln w="28575" cap="rnd">
              <a:solidFill>
                <a:schemeClr val="accent1"/>
              </a:solidFill>
              <a:round/>
            </a:ln>
            <a:effectLst/>
          </c:spPr>
          <c:marker>
            <c:symbol val="none"/>
          </c:marker>
          <c:val>
            <c:numRef>
              <c:f>'IVLP 20v kannattavuus'!$U$38:$U$58</c:f>
              <c:numCache>
                <c:formatCode>#\ ##0\ "€"</c:formatCode>
                <c:ptCount val="21"/>
                <c:pt idx="0">
                  <c:v>1680</c:v>
                </c:pt>
                <c:pt idx="1">
                  <c:v>3376.8</c:v>
                </c:pt>
                <c:pt idx="2">
                  <c:v>5090.5680000000002</c:v>
                </c:pt>
                <c:pt idx="3">
                  <c:v>6821.4736800000001</c:v>
                </c:pt>
                <c:pt idx="4">
                  <c:v>8569.6884167999997</c:v>
                </c:pt>
                <c:pt idx="5">
                  <c:v>10335.385300967999</c:v>
                </c:pt>
                <c:pt idx="6">
                  <c:v>12118.739153977678</c:v>
                </c:pt>
                <c:pt idx="7">
                  <c:v>13919.926545517455</c:v>
                </c:pt>
                <c:pt idx="8">
                  <c:v>15739.12581097263</c:v>
                </c:pt>
                <c:pt idx="9">
                  <c:v>17576.517069082354</c:v>
                </c:pt>
                <c:pt idx="10">
                  <c:v>19432.28223977318</c:v>
                </c:pt>
                <c:pt idx="11">
                  <c:v>21306.605062170911</c:v>
                </c:pt>
                <c:pt idx="12">
                  <c:v>23199.671112792621</c:v>
                </c:pt>
                <c:pt idx="13">
                  <c:v>25111.667823920547</c:v>
                </c:pt>
                <c:pt idx="14">
                  <c:v>27042.784502159753</c:v>
                </c:pt>
                <c:pt idx="15">
                  <c:v>28993.21234718135</c:v>
                </c:pt>
                <c:pt idx="16">
                  <c:v>30963.144470653162</c:v>
                </c:pt>
                <c:pt idx="17">
                  <c:v>32952.775915359693</c:v>
                </c:pt>
                <c:pt idx="18">
                  <c:v>34962.303674513292</c:v>
                </c:pt>
                <c:pt idx="19">
                  <c:v>36991.926711258428</c:v>
                </c:pt>
                <c:pt idx="20">
                  <c:v>39041.845978371013</c:v>
                </c:pt>
              </c:numCache>
            </c:numRef>
          </c:val>
          <c:smooth val="0"/>
          <c:extLst>
            <c:ext xmlns:c16="http://schemas.microsoft.com/office/drawing/2014/chart" uri="{C3380CC4-5D6E-409C-BE32-E72D297353CC}">
              <c16:uniqueId val="{00000000-F3B7-4EFF-B3A0-CD20307F9FC0}"/>
            </c:ext>
          </c:extLst>
        </c:ser>
        <c:ser>
          <c:idx val="1"/>
          <c:order val="1"/>
          <c:tx>
            <c:strRef>
              <c:f>'IVLP 20v kannattavuus'!$V$37</c:f>
              <c:strCache>
                <c:ptCount val="1"/>
                <c:pt idx="0">
                  <c:v>Uuden järjestelmän kumulatiivinen kulu</c:v>
                </c:pt>
              </c:strCache>
            </c:strRef>
          </c:tx>
          <c:spPr>
            <a:ln w="28575" cap="rnd">
              <a:solidFill>
                <a:schemeClr val="accent2"/>
              </a:solidFill>
              <a:round/>
            </a:ln>
            <a:effectLst/>
          </c:spPr>
          <c:marker>
            <c:symbol val="none"/>
          </c:marker>
          <c:val>
            <c:numRef>
              <c:f>'IVLP 20v kannattavuus'!$V$38:$V$58</c:f>
              <c:numCache>
                <c:formatCode>#\ ##0\ "€"</c:formatCode>
                <c:ptCount val="21"/>
                <c:pt idx="0">
                  <c:v>1000</c:v>
                </c:pt>
                <c:pt idx="1">
                  <c:v>2299.1999999999998</c:v>
                </c:pt>
                <c:pt idx="2">
                  <c:v>3598.3999999999996</c:v>
                </c:pt>
                <c:pt idx="3">
                  <c:v>4897.5999999999995</c:v>
                </c:pt>
                <c:pt idx="4">
                  <c:v>6196.7999999999993</c:v>
                </c:pt>
                <c:pt idx="5">
                  <c:v>7495.9999999999991</c:v>
                </c:pt>
                <c:pt idx="6">
                  <c:v>8795.1999999999989</c:v>
                </c:pt>
                <c:pt idx="7">
                  <c:v>10094.4</c:v>
                </c:pt>
                <c:pt idx="8">
                  <c:v>11393.6</c:v>
                </c:pt>
                <c:pt idx="9">
                  <c:v>12692.800000000001</c:v>
                </c:pt>
                <c:pt idx="10">
                  <c:v>13992.000000000002</c:v>
                </c:pt>
                <c:pt idx="11">
                  <c:v>15291.200000000003</c:v>
                </c:pt>
                <c:pt idx="12">
                  <c:v>16590.400000000001</c:v>
                </c:pt>
                <c:pt idx="13">
                  <c:v>17889.600000000002</c:v>
                </c:pt>
                <c:pt idx="14">
                  <c:v>19188.800000000003</c:v>
                </c:pt>
                <c:pt idx="15">
                  <c:v>20488.000000000004</c:v>
                </c:pt>
                <c:pt idx="16">
                  <c:v>21787.200000000004</c:v>
                </c:pt>
                <c:pt idx="17">
                  <c:v>23086.400000000005</c:v>
                </c:pt>
                <c:pt idx="18">
                  <c:v>24385.600000000006</c:v>
                </c:pt>
                <c:pt idx="19">
                  <c:v>25684.800000000007</c:v>
                </c:pt>
                <c:pt idx="20">
                  <c:v>26984.000000000007</c:v>
                </c:pt>
              </c:numCache>
            </c:numRef>
          </c:val>
          <c:smooth val="0"/>
          <c:extLst>
            <c:ext xmlns:c16="http://schemas.microsoft.com/office/drawing/2014/chart" uri="{C3380CC4-5D6E-409C-BE32-E72D297353CC}">
              <c16:uniqueId val="{00000001-F3B7-4EFF-B3A0-CD20307F9FC0}"/>
            </c:ext>
          </c:extLst>
        </c:ser>
        <c:dLbls>
          <c:showLegendKey val="0"/>
          <c:showVal val="0"/>
          <c:showCatName val="0"/>
          <c:showSerName val="0"/>
          <c:showPercent val="0"/>
          <c:showBubbleSize val="0"/>
        </c:dLbls>
        <c:smooth val="0"/>
        <c:axId val="1898058704"/>
        <c:axId val="1903332048"/>
      </c:lineChart>
      <c:catAx>
        <c:axId val="189805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903332048"/>
        <c:crosses val="autoZero"/>
        <c:auto val="1"/>
        <c:lblAlgn val="ctr"/>
        <c:lblOffset val="100"/>
        <c:noMultiLvlLbl val="0"/>
      </c:catAx>
      <c:valAx>
        <c:axId val="1903332048"/>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98058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Kumulatiivisten</a:t>
            </a:r>
            <a:r>
              <a:rPr lang="fi-FI" baseline="0"/>
              <a:t> kulujen</a:t>
            </a:r>
            <a:r>
              <a:rPr lang="fi-FI"/>
              <a:t> vertailu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'MLP 25v kannattavuus'!$U$37</c:f>
              <c:strCache>
                <c:ptCount val="1"/>
                <c:pt idx="0">
                  <c:v>Nykyjärjestelmän kumulatiivinen kulu</c:v>
                </c:pt>
              </c:strCache>
            </c:strRef>
          </c:tx>
          <c:spPr>
            <a:ln w="28575" cap="rnd">
              <a:solidFill>
                <a:schemeClr val="accent1"/>
              </a:solidFill>
              <a:round/>
            </a:ln>
            <a:effectLst/>
          </c:spPr>
          <c:marker>
            <c:symbol val="none"/>
          </c:marker>
          <c:val>
            <c:numRef>
              <c:f>'MLP 25v kannattavuus'!$U$38:$U$63</c:f>
              <c:numCache>
                <c:formatCode>#\ ##0\ "€"</c:formatCode>
                <c:ptCount val="26"/>
                <c:pt idx="0">
                  <c:v>1680</c:v>
                </c:pt>
                <c:pt idx="1">
                  <c:v>3376.8</c:v>
                </c:pt>
                <c:pt idx="2">
                  <c:v>5090.5680000000002</c:v>
                </c:pt>
                <c:pt idx="3">
                  <c:v>6821.4736800000001</c:v>
                </c:pt>
                <c:pt idx="4">
                  <c:v>8569.6884167999997</c:v>
                </c:pt>
                <c:pt idx="5">
                  <c:v>10335.385300967999</c:v>
                </c:pt>
                <c:pt idx="6">
                  <c:v>12118.739153977678</c:v>
                </c:pt>
                <c:pt idx="7">
                  <c:v>13919.926545517455</c:v>
                </c:pt>
                <c:pt idx="8">
                  <c:v>15739.12581097263</c:v>
                </c:pt>
                <c:pt idx="9">
                  <c:v>17576.517069082354</c:v>
                </c:pt>
                <c:pt idx="10">
                  <c:v>19432.28223977318</c:v>
                </c:pt>
                <c:pt idx="11">
                  <c:v>21306.605062170911</c:v>
                </c:pt>
                <c:pt idx="12">
                  <c:v>23199.671112792621</c:v>
                </c:pt>
                <c:pt idx="13">
                  <c:v>25111.667823920547</c:v>
                </c:pt>
                <c:pt idx="14">
                  <c:v>27042.784502159753</c:v>
                </c:pt>
                <c:pt idx="15">
                  <c:v>28993.21234718135</c:v>
                </c:pt>
                <c:pt idx="16">
                  <c:v>30963.144470653162</c:v>
                </c:pt>
                <c:pt idx="17">
                  <c:v>32952.775915359693</c:v>
                </c:pt>
                <c:pt idx="18">
                  <c:v>34962.303674513292</c:v>
                </c:pt>
                <c:pt idx="19">
                  <c:v>36991.926711258428</c:v>
                </c:pt>
                <c:pt idx="20">
                  <c:v>39041.845978371013</c:v>
                </c:pt>
                <c:pt idx="21">
                  <c:v>41112.264438154722</c:v>
                </c:pt>
                <c:pt idx="22">
                  <c:v>43203.387082536268</c:v>
                </c:pt>
                <c:pt idx="23">
                  <c:v>45315.42095336163</c:v>
                </c:pt>
                <c:pt idx="24">
                  <c:v>47448.575162895249</c:v>
                </c:pt>
                <c:pt idx="25">
                  <c:v>49603.060914524205</c:v>
                </c:pt>
              </c:numCache>
            </c:numRef>
          </c:val>
          <c:smooth val="0"/>
          <c:extLst>
            <c:ext xmlns:c16="http://schemas.microsoft.com/office/drawing/2014/chart" uri="{C3380CC4-5D6E-409C-BE32-E72D297353CC}">
              <c16:uniqueId val="{00000000-3019-4221-990D-1DC98350F5AD}"/>
            </c:ext>
          </c:extLst>
        </c:ser>
        <c:ser>
          <c:idx val="1"/>
          <c:order val="1"/>
          <c:tx>
            <c:strRef>
              <c:f>'MLP 25v kannattavuus'!$V$37</c:f>
              <c:strCache>
                <c:ptCount val="1"/>
                <c:pt idx="0">
                  <c:v>Uuden järjestelmän kumulatiivinen kulu</c:v>
                </c:pt>
              </c:strCache>
            </c:strRef>
          </c:tx>
          <c:spPr>
            <a:ln w="28575" cap="rnd">
              <a:solidFill>
                <a:schemeClr val="accent2"/>
              </a:solidFill>
              <a:round/>
            </a:ln>
            <a:effectLst/>
          </c:spPr>
          <c:marker>
            <c:symbol val="none"/>
          </c:marker>
          <c:val>
            <c:numRef>
              <c:f>'MLP 25v kannattavuus'!$V$38:$V$63</c:f>
              <c:numCache>
                <c:formatCode>#\ ##0\ "€"</c:formatCode>
                <c:ptCount val="26"/>
                <c:pt idx="0">
                  <c:v>8005</c:v>
                </c:pt>
                <c:pt idx="1">
                  <c:v>8766.6</c:v>
                </c:pt>
                <c:pt idx="2">
                  <c:v>9528.2000000000007</c:v>
                </c:pt>
                <c:pt idx="3">
                  <c:v>10289.800000000001</c:v>
                </c:pt>
                <c:pt idx="4">
                  <c:v>11051.400000000001</c:v>
                </c:pt>
                <c:pt idx="5">
                  <c:v>11813.000000000002</c:v>
                </c:pt>
                <c:pt idx="6">
                  <c:v>12574.600000000002</c:v>
                </c:pt>
                <c:pt idx="7">
                  <c:v>13336.200000000003</c:v>
                </c:pt>
                <c:pt idx="8">
                  <c:v>14097.800000000003</c:v>
                </c:pt>
                <c:pt idx="9">
                  <c:v>14859.400000000003</c:v>
                </c:pt>
                <c:pt idx="10">
                  <c:v>15621.000000000004</c:v>
                </c:pt>
                <c:pt idx="11">
                  <c:v>16382.600000000004</c:v>
                </c:pt>
                <c:pt idx="12">
                  <c:v>17144.200000000004</c:v>
                </c:pt>
                <c:pt idx="13">
                  <c:v>17905.800000000003</c:v>
                </c:pt>
                <c:pt idx="14">
                  <c:v>18667.400000000001</c:v>
                </c:pt>
                <c:pt idx="15">
                  <c:v>19429</c:v>
                </c:pt>
                <c:pt idx="16">
                  <c:v>20190.599999999999</c:v>
                </c:pt>
                <c:pt idx="17">
                  <c:v>20952.199999999997</c:v>
                </c:pt>
                <c:pt idx="18">
                  <c:v>21713.799999999996</c:v>
                </c:pt>
                <c:pt idx="19">
                  <c:v>22475.399999999994</c:v>
                </c:pt>
                <c:pt idx="20">
                  <c:v>23236.999999999993</c:v>
                </c:pt>
                <c:pt idx="21">
                  <c:v>23998.599999999991</c:v>
                </c:pt>
                <c:pt idx="22">
                  <c:v>24760.19999999999</c:v>
                </c:pt>
                <c:pt idx="23">
                  <c:v>25521.799999999988</c:v>
                </c:pt>
                <c:pt idx="24">
                  <c:v>26283.399999999987</c:v>
                </c:pt>
                <c:pt idx="25">
                  <c:v>27044.999999999985</c:v>
                </c:pt>
              </c:numCache>
            </c:numRef>
          </c:val>
          <c:smooth val="0"/>
          <c:extLst>
            <c:ext xmlns:c16="http://schemas.microsoft.com/office/drawing/2014/chart" uri="{C3380CC4-5D6E-409C-BE32-E72D297353CC}">
              <c16:uniqueId val="{00000001-3019-4221-990D-1DC98350F5AD}"/>
            </c:ext>
          </c:extLst>
        </c:ser>
        <c:dLbls>
          <c:showLegendKey val="0"/>
          <c:showVal val="0"/>
          <c:showCatName val="0"/>
          <c:showSerName val="0"/>
          <c:showPercent val="0"/>
          <c:showBubbleSize val="0"/>
        </c:dLbls>
        <c:smooth val="0"/>
        <c:axId val="1893280064"/>
        <c:axId val="1902689504"/>
      </c:lineChart>
      <c:catAx>
        <c:axId val="189328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902689504"/>
        <c:crosses val="autoZero"/>
        <c:auto val="1"/>
        <c:lblAlgn val="ctr"/>
        <c:lblOffset val="100"/>
        <c:noMultiLvlLbl val="0"/>
      </c:catAx>
      <c:valAx>
        <c:axId val="1902689504"/>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9328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chemeClr val="accent1"/>
                </a:solidFill>
              </a:rPr>
              <a:t>Kulutus</a:t>
            </a:r>
            <a:r>
              <a:rPr lang="fi-FI" baseline="0"/>
              <a:t> vs Tuotanto</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'PV 30v kannattavuus 3'!$C$101</c:f>
              <c:strCache>
                <c:ptCount val="1"/>
                <c:pt idx="0">
                  <c:v>Kiinteistön kuukausikohtainen sähkönkulutus kWh/kk</c:v>
                </c:pt>
              </c:strCache>
            </c:strRef>
          </c:tx>
          <c:spPr>
            <a:solidFill>
              <a:schemeClr val="accent1"/>
            </a:solidFill>
            <a:ln>
              <a:noFill/>
            </a:ln>
            <a:effectLst/>
          </c:spPr>
          <c:invertIfNegative val="0"/>
          <c:val>
            <c:numRef>
              <c:f>'PV 30v kannattavuus 3'!$C$102:$C$113</c:f>
              <c:numCache>
                <c:formatCode>0</c:formatCode>
                <c:ptCount val="12"/>
                <c:pt idx="0">
                  <c:v>1107</c:v>
                </c:pt>
                <c:pt idx="1">
                  <c:v>1107</c:v>
                </c:pt>
                <c:pt idx="2">
                  <c:v>1033.2</c:v>
                </c:pt>
                <c:pt idx="3">
                  <c:v>1033.2</c:v>
                </c:pt>
                <c:pt idx="4">
                  <c:v>971.7</c:v>
                </c:pt>
                <c:pt idx="5">
                  <c:v>861.00000000000011</c:v>
                </c:pt>
                <c:pt idx="6">
                  <c:v>861.00000000000011</c:v>
                </c:pt>
                <c:pt idx="7">
                  <c:v>971.7</c:v>
                </c:pt>
                <c:pt idx="8">
                  <c:v>1033.2</c:v>
                </c:pt>
                <c:pt idx="9">
                  <c:v>1107</c:v>
                </c:pt>
                <c:pt idx="10">
                  <c:v>1107</c:v>
                </c:pt>
                <c:pt idx="11">
                  <c:v>1107</c:v>
                </c:pt>
              </c:numCache>
            </c:numRef>
          </c:val>
          <c:extLst>
            <c:ext xmlns:c16="http://schemas.microsoft.com/office/drawing/2014/chart" uri="{C3380CC4-5D6E-409C-BE32-E72D297353CC}">
              <c16:uniqueId val="{00000000-F084-497E-980B-CC1BA26F316B}"/>
            </c:ext>
          </c:extLst>
        </c:ser>
        <c:ser>
          <c:idx val="4"/>
          <c:order val="4"/>
          <c:tx>
            <c:strRef>
              <c:f>'PV 30v kannattavuus 3'!$G$101</c:f>
              <c:strCache>
                <c:ptCount val="1"/>
                <c:pt idx="0">
                  <c:v>Aurinkosähkön tuotanto kWh/kk</c:v>
                </c:pt>
              </c:strCache>
            </c:strRef>
          </c:tx>
          <c:spPr>
            <a:solidFill>
              <a:schemeClr val="accent3">
                <a:lumMod val="60000"/>
              </a:schemeClr>
            </a:solidFill>
            <a:ln>
              <a:noFill/>
            </a:ln>
            <a:effectLst/>
          </c:spPr>
          <c:invertIfNegative val="0"/>
          <c:val>
            <c:numRef>
              <c:f>'PV 30v kannattavuus 3'!$G$102:$G$113</c:f>
              <c:numCache>
                <c:formatCode>0</c:formatCode>
                <c:ptCount val="12"/>
                <c:pt idx="0">
                  <c:v>28.938623999999997</c:v>
                </c:pt>
                <c:pt idx="1">
                  <c:v>89.849760000000003</c:v>
                </c:pt>
                <c:pt idx="2">
                  <c:v>220.65700799999999</c:v>
                </c:pt>
                <c:pt idx="3">
                  <c:v>346.56335999999999</c:v>
                </c:pt>
                <c:pt idx="4">
                  <c:v>489.24361199999998</c:v>
                </c:pt>
                <c:pt idx="5">
                  <c:v>492.71507999999994</c:v>
                </c:pt>
                <c:pt idx="6">
                  <c:v>506.42591999999996</c:v>
                </c:pt>
                <c:pt idx="7">
                  <c:v>369.87178799999992</c:v>
                </c:pt>
                <c:pt idx="8">
                  <c:v>222.29064</c:v>
                </c:pt>
                <c:pt idx="9">
                  <c:v>106.71117599999998</c:v>
                </c:pt>
                <c:pt idx="10">
                  <c:v>43.757999999999996</c:v>
                </c:pt>
                <c:pt idx="11">
                  <c:v>18.086639999999999</c:v>
                </c:pt>
              </c:numCache>
            </c:numRef>
          </c:val>
          <c:extLst>
            <c:ext xmlns:c16="http://schemas.microsoft.com/office/drawing/2014/chart" uri="{C3380CC4-5D6E-409C-BE32-E72D297353CC}">
              <c16:uniqueId val="{00000001-F084-497E-980B-CC1BA26F316B}"/>
            </c:ext>
          </c:extLst>
        </c:ser>
        <c:dLbls>
          <c:showLegendKey val="0"/>
          <c:showVal val="0"/>
          <c:showCatName val="0"/>
          <c:showSerName val="0"/>
          <c:showPercent val="0"/>
          <c:showBubbleSize val="0"/>
        </c:dLbls>
        <c:gapWidth val="219"/>
        <c:overlap val="-27"/>
        <c:axId val="1809982607"/>
        <c:axId val="163268895"/>
        <c:extLst>
          <c:ext xmlns:c15="http://schemas.microsoft.com/office/drawing/2012/chart" uri="{02D57815-91ED-43cb-92C2-25804820EDAC}">
            <c15:filteredBarSeries>
              <c15:ser>
                <c:idx val="1"/>
                <c:order val="1"/>
                <c:tx>
                  <c:strRef>
                    <c:extLst>
                      <c:ext uri="{02D57815-91ED-43cb-92C2-25804820EDAC}">
                        <c15:formulaRef>
                          <c15:sqref>'PV 30v kannattavuus 3'!$D$101</c15:sqref>
                        </c15:formulaRef>
                      </c:ext>
                    </c:extLst>
                    <c:strCache>
                      <c:ptCount val="1"/>
                      <c:pt idx="0">
                        <c:v>Auringon säteily kWh/m2/pv sijainnin mukaan</c:v>
                      </c:pt>
                    </c:strCache>
                  </c:strRef>
                </c:tx>
                <c:spPr>
                  <a:solidFill>
                    <a:schemeClr val="accent3"/>
                  </a:solidFill>
                  <a:ln>
                    <a:noFill/>
                  </a:ln>
                  <a:effectLst/>
                </c:spPr>
                <c:invertIfNegative val="0"/>
                <c:val>
                  <c:numRef>
                    <c:extLst>
                      <c:ext uri="{02D57815-91ED-43cb-92C2-25804820EDAC}">
                        <c15:formulaRef>
                          <c15:sqref>'PV 30v kannattavuus 3'!$D$102:$D$113</c15:sqref>
                        </c15:formulaRef>
                      </c:ext>
                    </c:extLst>
                    <c:numCache>
                      <c:formatCode>0.00</c:formatCode>
                      <c:ptCount val="12"/>
                      <c:pt idx="0">
                        <c:v>0.32</c:v>
                      </c:pt>
                      <c:pt idx="1">
                        <c:v>1.1000000000000001</c:v>
                      </c:pt>
                      <c:pt idx="2">
                        <c:v>2.44</c:v>
                      </c:pt>
                      <c:pt idx="3">
                        <c:v>3.96</c:v>
                      </c:pt>
                      <c:pt idx="4">
                        <c:v>5.41</c:v>
                      </c:pt>
                      <c:pt idx="5">
                        <c:v>5.63</c:v>
                      </c:pt>
                      <c:pt idx="6">
                        <c:v>5.6</c:v>
                      </c:pt>
                      <c:pt idx="7">
                        <c:v>4.09</c:v>
                      </c:pt>
                      <c:pt idx="8">
                        <c:v>2.54</c:v>
                      </c:pt>
                      <c:pt idx="9">
                        <c:v>1.18</c:v>
                      </c:pt>
                      <c:pt idx="10">
                        <c:v>0.5</c:v>
                      </c:pt>
                      <c:pt idx="11">
                        <c:v>0.2</c:v>
                      </c:pt>
                    </c:numCache>
                  </c:numRef>
                </c:val>
                <c:extLst>
                  <c:ext xmlns:c16="http://schemas.microsoft.com/office/drawing/2014/chart" uri="{C3380CC4-5D6E-409C-BE32-E72D297353CC}">
                    <c16:uniqueId val="{00000002-F084-497E-980B-CC1BA26F316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'PV 30v kannattavuus 3'!$E$101</c15:sqref>
                        </c15:formulaRef>
                      </c:ext>
                    </c:extLst>
                    <c:strCache>
                      <c:ptCount val="1"/>
                      <c:pt idx="0">
                        <c:v> Sähkön ostohinta €/MWh/kk</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3'!$E$102:$E$113</c15:sqref>
                        </c15:formulaRef>
                      </c:ext>
                    </c:extLst>
                    <c:numCache>
                      <c:formatCode>0.0</c:formatCode>
                      <c:ptCount val="12"/>
                      <c:pt idx="0">
                        <c:v>141.22514999999999</c:v>
                      </c:pt>
                      <c:pt idx="1">
                        <c:v>141.22514999999999</c:v>
                      </c:pt>
                      <c:pt idx="2">
                        <c:v>141.22514999999999</c:v>
                      </c:pt>
                      <c:pt idx="3">
                        <c:v>141.22514999999999</c:v>
                      </c:pt>
                      <c:pt idx="4">
                        <c:v>141.22514999999999</c:v>
                      </c:pt>
                      <c:pt idx="5">
                        <c:v>141.22514999999999</c:v>
                      </c:pt>
                      <c:pt idx="6">
                        <c:v>141.22514999999999</c:v>
                      </c:pt>
                      <c:pt idx="7">
                        <c:v>141.22514999999999</c:v>
                      </c:pt>
                      <c:pt idx="8">
                        <c:v>141.22514999999999</c:v>
                      </c:pt>
                      <c:pt idx="9">
                        <c:v>141.22514999999999</c:v>
                      </c:pt>
                      <c:pt idx="10">
                        <c:v>141.22514999999999</c:v>
                      </c:pt>
                      <c:pt idx="11">
                        <c:v>141.22514999999999</c:v>
                      </c:pt>
                    </c:numCache>
                  </c:numRef>
                </c:val>
                <c:extLst xmlns:c15="http://schemas.microsoft.com/office/drawing/2012/chart">
                  <c:ext xmlns:c16="http://schemas.microsoft.com/office/drawing/2014/chart" uri="{C3380CC4-5D6E-409C-BE32-E72D297353CC}">
                    <c16:uniqueId val="{00000003-F084-497E-980B-CC1BA26F316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'PV 30v kannattavuus 3'!$F$101</c15:sqref>
                        </c15:formulaRef>
                      </c:ext>
                    </c:extLst>
                    <c:strCache>
                      <c:ptCount val="1"/>
                      <c:pt idx="0">
                        <c:v>Aurinkosähkön ylijäämän myyntihinta €/MWh/kk</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3'!$F$102:$F$113</c15:sqref>
                        </c15:formulaRef>
                      </c:ext>
                    </c:extLst>
                    <c:numCache>
                      <c:formatCode>0.0</c:formatCode>
                      <c:ptCount val="12"/>
                      <c:pt idx="0">
                        <c:v>20</c:v>
                      </c:pt>
                      <c:pt idx="1">
                        <c:v>20</c:v>
                      </c:pt>
                      <c:pt idx="2">
                        <c:v>20</c:v>
                      </c:pt>
                      <c:pt idx="3">
                        <c:v>20</c:v>
                      </c:pt>
                      <c:pt idx="4">
                        <c:v>20</c:v>
                      </c:pt>
                      <c:pt idx="5">
                        <c:v>20</c:v>
                      </c:pt>
                      <c:pt idx="6">
                        <c:v>20</c:v>
                      </c:pt>
                      <c:pt idx="7">
                        <c:v>20</c:v>
                      </c:pt>
                      <c:pt idx="8">
                        <c:v>20</c:v>
                      </c:pt>
                      <c:pt idx="9">
                        <c:v>20</c:v>
                      </c:pt>
                      <c:pt idx="10">
                        <c:v>20</c:v>
                      </c:pt>
                      <c:pt idx="11">
                        <c:v>20</c:v>
                      </c:pt>
                    </c:numCache>
                  </c:numRef>
                </c:val>
                <c:extLst xmlns:c15="http://schemas.microsoft.com/office/drawing/2012/chart">
                  <c:ext xmlns:c16="http://schemas.microsoft.com/office/drawing/2014/chart" uri="{C3380CC4-5D6E-409C-BE32-E72D297353CC}">
                    <c16:uniqueId val="{00000004-F084-497E-980B-CC1BA26F316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'PV 30v kannattavuus 3'!$H$101</c15:sqref>
                        </c15:formulaRef>
                      </c:ext>
                    </c:extLst>
                    <c:strCache>
                      <c:ptCount val="1"/>
                      <c:pt idx="0">
                        <c:v>Aurinkosähköä omaan käyttöön kWh</c:v>
                      </c:pt>
                    </c:strCache>
                  </c:strRef>
                </c:tx>
                <c:spPr>
                  <a:solidFill>
                    <a:schemeClr val="accent5">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3'!$H$102:$H$113</c15:sqref>
                        </c15:formulaRef>
                      </c:ext>
                    </c:extLst>
                    <c:numCache>
                      <c:formatCode>0</c:formatCode>
                      <c:ptCount val="12"/>
                      <c:pt idx="0">
                        <c:v>28.938623999999997</c:v>
                      </c:pt>
                      <c:pt idx="1">
                        <c:v>89.849760000000003</c:v>
                      </c:pt>
                      <c:pt idx="2">
                        <c:v>220.65700799999999</c:v>
                      </c:pt>
                      <c:pt idx="3">
                        <c:v>346.56335999999999</c:v>
                      </c:pt>
                      <c:pt idx="4">
                        <c:v>388.68000000000006</c:v>
                      </c:pt>
                      <c:pt idx="5">
                        <c:v>344.40000000000009</c:v>
                      </c:pt>
                      <c:pt idx="6">
                        <c:v>344.40000000000009</c:v>
                      </c:pt>
                      <c:pt idx="7">
                        <c:v>369.87178799999992</c:v>
                      </c:pt>
                      <c:pt idx="8">
                        <c:v>222.29064</c:v>
                      </c:pt>
                      <c:pt idx="9">
                        <c:v>106.71117599999998</c:v>
                      </c:pt>
                      <c:pt idx="10">
                        <c:v>43.757999999999996</c:v>
                      </c:pt>
                      <c:pt idx="11">
                        <c:v>18.086639999999999</c:v>
                      </c:pt>
                    </c:numCache>
                  </c:numRef>
                </c:val>
                <c:extLst xmlns:c15="http://schemas.microsoft.com/office/drawing/2012/chart">
                  <c:ext xmlns:c16="http://schemas.microsoft.com/office/drawing/2014/chart" uri="{C3380CC4-5D6E-409C-BE32-E72D297353CC}">
                    <c16:uniqueId val="{00000005-F084-497E-980B-CC1BA26F316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'PV 30v kannattavuus 3'!$I$101</c15:sqref>
                        </c15:formulaRef>
                      </c:ext>
                    </c:extLst>
                    <c:strCache>
                      <c:ptCount val="1"/>
                      <c:pt idx="0">
                        <c:v>Aurinkosähköä myyntiin kWh</c:v>
                      </c:pt>
                    </c:strCache>
                  </c:strRef>
                </c:tx>
                <c:spPr>
                  <a:solidFill>
                    <a:schemeClr val="accent1">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3'!$I$102:$I$113</c15:sqref>
                        </c15:formulaRef>
                      </c:ext>
                    </c:extLst>
                    <c:numCache>
                      <c:formatCode>0</c:formatCode>
                      <c:ptCount val="12"/>
                      <c:pt idx="0">
                        <c:v>0</c:v>
                      </c:pt>
                      <c:pt idx="1">
                        <c:v>0</c:v>
                      </c:pt>
                      <c:pt idx="2">
                        <c:v>0</c:v>
                      </c:pt>
                      <c:pt idx="3">
                        <c:v>0</c:v>
                      </c:pt>
                      <c:pt idx="4">
                        <c:v>100.56361199999992</c:v>
                      </c:pt>
                      <c:pt idx="5">
                        <c:v>148.31507999999985</c:v>
                      </c:pt>
                      <c:pt idx="6">
                        <c:v>162.02591999999987</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F084-497E-980B-CC1BA26F316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'PV 30v kannattavuus 3'!$J$101</c15:sqref>
                        </c15:formulaRef>
                      </c:ext>
                    </c:extLst>
                    <c:strCache>
                      <c:ptCount val="1"/>
                      <c:pt idx="0">
                        <c:v>Sähkön ostotarve kWh</c:v>
                      </c:pt>
                    </c:strCache>
                  </c:strRef>
                </c:tx>
                <c:spPr>
                  <a:solidFill>
                    <a:schemeClr val="accent3">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3'!$J$102:$J$113</c15:sqref>
                        </c15:formulaRef>
                      </c:ext>
                    </c:extLst>
                    <c:numCache>
                      <c:formatCode>0</c:formatCode>
                      <c:ptCount val="12"/>
                      <c:pt idx="0">
                        <c:v>1078.0613760000001</c:v>
                      </c:pt>
                      <c:pt idx="1">
                        <c:v>1017.1502399999999</c:v>
                      </c:pt>
                      <c:pt idx="2">
                        <c:v>812.54299200000003</c:v>
                      </c:pt>
                      <c:pt idx="3">
                        <c:v>686.63664000000006</c:v>
                      </c:pt>
                      <c:pt idx="4">
                        <c:v>583.02</c:v>
                      </c:pt>
                      <c:pt idx="5">
                        <c:v>516.6</c:v>
                      </c:pt>
                      <c:pt idx="6">
                        <c:v>516.6</c:v>
                      </c:pt>
                      <c:pt idx="7">
                        <c:v>601.82821200000012</c:v>
                      </c:pt>
                      <c:pt idx="8">
                        <c:v>810.90936000000011</c:v>
                      </c:pt>
                      <c:pt idx="9">
                        <c:v>1000.288824</c:v>
                      </c:pt>
                      <c:pt idx="10">
                        <c:v>1063.242</c:v>
                      </c:pt>
                      <c:pt idx="11">
                        <c:v>1088.91336</c:v>
                      </c:pt>
                    </c:numCache>
                  </c:numRef>
                </c:val>
                <c:extLst xmlns:c15="http://schemas.microsoft.com/office/drawing/2012/chart">
                  <c:ext xmlns:c16="http://schemas.microsoft.com/office/drawing/2014/chart" uri="{C3380CC4-5D6E-409C-BE32-E72D297353CC}">
                    <c16:uniqueId val="{00000007-F084-497E-980B-CC1BA26F316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'PV 30v kannattavuus 3'!$K$101</c15:sqref>
                        </c15:formulaRef>
                      </c:ext>
                    </c:extLst>
                    <c:strCache>
                      <c:ptCount val="1"/>
                      <c:pt idx="0">
                        <c:v>Omaan käyttöön tuotetun aurinkosähkön arvo €</c:v>
                      </c:pt>
                    </c:strCache>
                  </c:strRef>
                </c:tx>
                <c:spPr>
                  <a:solidFill>
                    <a:schemeClr val="accent5">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3'!$K$102:$K$113</c15:sqref>
                        </c15:formulaRef>
                      </c:ext>
                    </c:extLst>
                    <c:numCache>
                      <c:formatCode>#\ ##0.00\ "€"</c:formatCode>
                      <c:ptCount val="12"/>
                      <c:pt idx="0">
                        <c:v>4.0868615151935987</c:v>
                      </c:pt>
                      <c:pt idx="1">
                        <c:v>12.689045833463998</c:v>
                      </c:pt>
                      <c:pt idx="2">
                        <c:v>31.162319053351194</c:v>
                      </c:pt>
                      <c:pt idx="3">
                        <c:v>48.94346250050399</c:v>
                      </c:pt>
                      <c:pt idx="4">
                        <c:v>69.093502491241793</c:v>
                      </c:pt>
                      <c:pt idx="5">
                        <c:v>69.583761080261993</c:v>
                      </c:pt>
                      <c:pt idx="6">
                        <c:v>71.520076515887979</c:v>
                      </c:pt>
                      <c:pt idx="7">
                        <c:v>52.235198741068182</c:v>
                      </c:pt>
                      <c:pt idx="8">
                        <c:v>31.393028977595996</c:v>
                      </c:pt>
                      <c:pt idx="9">
                        <c:v>15.070301837276396</c:v>
                      </c:pt>
                      <c:pt idx="10">
                        <c:v>6.1797301136999989</c:v>
                      </c:pt>
                      <c:pt idx="11">
                        <c:v>2.5542884469959994</c:v>
                      </c:pt>
                    </c:numCache>
                  </c:numRef>
                </c:val>
                <c:extLst xmlns:c15="http://schemas.microsoft.com/office/drawing/2012/chart">
                  <c:ext xmlns:c16="http://schemas.microsoft.com/office/drawing/2014/chart" uri="{C3380CC4-5D6E-409C-BE32-E72D297353CC}">
                    <c16:uniqueId val="{00000008-F084-497E-980B-CC1BA26F316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'PV 30v kannattavuus 3'!$L$101</c15:sqref>
                        </c15:formulaRef>
                      </c:ext>
                    </c:extLst>
                    <c:strCache>
                      <c:ptCount val="1"/>
                      <c:pt idx="0">
                        <c:v>Sähkön myyntitulot €</c:v>
                      </c:pt>
                    </c:strCache>
                  </c:strRef>
                </c:tx>
                <c:spPr>
                  <a:solidFill>
                    <a:schemeClr val="accent1">
                      <a:lumMod val="8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3'!$L$102:$L$113</c15:sqref>
                        </c15:formulaRef>
                      </c:ext>
                    </c:extLst>
                    <c:numCache>
                      <c:formatCode>#\ ##0.00\ "€"</c:formatCode>
                      <c:ptCount val="12"/>
                      <c:pt idx="0">
                        <c:v>0</c:v>
                      </c:pt>
                      <c:pt idx="1">
                        <c:v>0</c:v>
                      </c:pt>
                      <c:pt idx="2">
                        <c:v>0</c:v>
                      </c:pt>
                      <c:pt idx="3">
                        <c:v>0</c:v>
                      </c:pt>
                      <c:pt idx="4">
                        <c:v>2.0112722399999985</c:v>
                      </c:pt>
                      <c:pt idx="5">
                        <c:v>2.9663015999999969</c:v>
                      </c:pt>
                      <c:pt idx="6">
                        <c:v>3.2405183999999974</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F084-497E-980B-CC1BA26F316B}"/>
                  </c:ext>
                </c:extLst>
              </c15:ser>
            </c15:filteredBarSeries>
          </c:ext>
        </c:extLst>
      </c:barChart>
      <c:catAx>
        <c:axId val="180998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268895"/>
        <c:crosses val="autoZero"/>
        <c:auto val="1"/>
        <c:lblAlgn val="ctr"/>
        <c:lblOffset val="100"/>
        <c:noMultiLvlLbl val="0"/>
      </c:catAx>
      <c:valAx>
        <c:axId val="163268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998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chemeClr val="accent1"/>
                </a:solidFill>
              </a:rPr>
              <a:t>Kulutus</a:t>
            </a:r>
            <a:r>
              <a:rPr lang="fi-FI" baseline="0"/>
              <a:t> vs Tuotanto</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'PV 30v kannattavuus 5'!$C$101</c:f>
              <c:strCache>
                <c:ptCount val="1"/>
                <c:pt idx="0">
                  <c:v>Kiinteistön kuukausikohtainen sähkönkulutus kWh/kk</c:v>
                </c:pt>
              </c:strCache>
            </c:strRef>
          </c:tx>
          <c:spPr>
            <a:solidFill>
              <a:schemeClr val="accent1"/>
            </a:solidFill>
            <a:ln>
              <a:noFill/>
            </a:ln>
            <a:effectLst/>
          </c:spPr>
          <c:invertIfNegative val="0"/>
          <c:val>
            <c:numRef>
              <c:f>'PV 30v kannattavuus 5'!$C$102:$C$113</c:f>
              <c:numCache>
                <c:formatCode>0</c:formatCode>
                <c:ptCount val="12"/>
                <c:pt idx="0">
                  <c:v>1107</c:v>
                </c:pt>
                <c:pt idx="1">
                  <c:v>1107</c:v>
                </c:pt>
                <c:pt idx="2">
                  <c:v>1033.2</c:v>
                </c:pt>
                <c:pt idx="3">
                  <c:v>1033.2</c:v>
                </c:pt>
                <c:pt idx="4">
                  <c:v>971.7</c:v>
                </c:pt>
                <c:pt idx="5">
                  <c:v>861.00000000000011</c:v>
                </c:pt>
                <c:pt idx="6">
                  <c:v>861.00000000000011</c:v>
                </c:pt>
                <c:pt idx="7">
                  <c:v>971.7</c:v>
                </c:pt>
                <c:pt idx="8">
                  <c:v>1033.2</c:v>
                </c:pt>
                <c:pt idx="9">
                  <c:v>1107</c:v>
                </c:pt>
                <c:pt idx="10">
                  <c:v>1107</c:v>
                </c:pt>
                <c:pt idx="11">
                  <c:v>1107</c:v>
                </c:pt>
              </c:numCache>
            </c:numRef>
          </c:val>
          <c:extLst>
            <c:ext xmlns:c16="http://schemas.microsoft.com/office/drawing/2014/chart" uri="{C3380CC4-5D6E-409C-BE32-E72D297353CC}">
              <c16:uniqueId val="{00000000-D39D-4188-9CAE-7A6F18131BA2}"/>
            </c:ext>
          </c:extLst>
        </c:ser>
        <c:ser>
          <c:idx val="4"/>
          <c:order val="4"/>
          <c:tx>
            <c:strRef>
              <c:f>'PV 30v kannattavuus 5'!$G$101</c:f>
              <c:strCache>
                <c:ptCount val="1"/>
                <c:pt idx="0">
                  <c:v>Aurinkosähkön tuotanto kWh/kk</c:v>
                </c:pt>
              </c:strCache>
            </c:strRef>
          </c:tx>
          <c:spPr>
            <a:solidFill>
              <a:schemeClr val="accent3">
                <a:lumMod val="60000"/>
              </a:schemeClr>
            </a:solidFill>
            <a:ln>
              <a:noFill/>
            </a:ln>
            <a:effectLst/>
          </c:spPr>
          <c:invertIfNegative val="0"/>
          <c:val>
            <c:numRef>
              <c:f>'PV 30v kannattavuus 5'!$G$102:$G$113</c:f>
              <c:numCache>
                <c:formatCode>0</c:formatCode>
                <c:ptCount val="12"/>
                <c:pt idx="0">
                  <c:v>43.407936000000007</c:v>
                </c:pt>
                <c:pt idx="1">
                  <c:v>134.77464000000003</c:v>
                </c:pt>
                <c:pt idx="2">
                  <c:v>330.98551200000003</c:v>
                </c:pt>
                <c:pt idx="3">
                  <c:v>519.84504000000004</c:v>
                </c:pt>
                <c:pt idx="4">
                  <c:v>733.86541800000009</c:v>
                </c:pt>
                <c:pt idx="5">
                  <c:v>739.07262000000014</c:v>
                </c:pt>
                <c:pt idx="6">
                  <c:v>759.63888000000009</c:v>
                </c:pt>
                <c:pt idx="7">
                  <c:v>554.807682</c:v>
                </c:pt>
                <c:pt idx="8">
                  <c:v>333.43596000000002</c:v>
                </c:pt>
                <c:pt idx="9">
                  <c:v>160.06676400000003</c:v>
                </c:pt>
                <c:pt idx="10">
                  <c:v>65.637</c:v>
                </c:pt>
                <c:pt idx="11">
                  <c:v>27.129960000000004</c:v>
                </c:pt>
              </c:numCache>
            </c:numRef>
          </c:val>
          <c:extLst>
            <c:ext xmlns:c16="http://schemas.microsoft.com/office/drawing/2014/chart" uri="{C3380CC4-5D6E-409C-BE32-E72D297353CC}">
              <c16:uniqueId val="{00000001-D39D-4188-9CAE-7A6F18131BA2}"/>
            </c:ext>
          </c:extLst>
        </c:ser>
        <c:dLbls>
          <c:showLegendKey val="0"/>
          <c:showVal val="0"/>
          <c:showCatName val="0"/>
          <c:showSerName val="0"/>
          <c:showPercent val="0"/>
          <c:showBubbleSize val="0"/>
        </c:dLbls>
        <c:gapWidth val="219"/>
        <c:overlap val="-27"/>
        <c:axId val="1809982607"/>
        <c:axId val="163268895"/>
        <c:extLst>
          <c:ext xmlns:c15="http://schemas.microsoft.com/office/drawing/2012/chart" uri="{02D57815-91ED-43cb-92C2-25804820EDAC}">
            <c15:filteredBarSeries>
              <c15:ser>
                <c:idx val="1"/>
                <c:order val="1"/>
                <c:tx>
                  <c:strRef>
                    <c:extLst>
                      <c:ext uri="{02D57815-91ED-43cb-92C2-25804820EDAC}">
                        <c15:formulaRef>
                          <c15:sqref>'PV 30v kannattavuus 5'!$D$101</c15:sqref>
                        </c15:formulaRef>
                      </c:ext>
                    </c:extLst>
                    <c:strCache>
                      <c:ptCount val="1"/>
                      <c:pt idx="0">
                        <c:v>Auringon säteily kWh/m2/pv sijainnin mukaan</c:v>
                      </c:pt>
                    </c:strCache>
                  </c:strRef>
                </c:tx>
                <c:spPr>
                  <a:solidFill>
                    <a:schemeClr val="accent3"/>
                  </a:solidFill>
                  <a:ln>
                    <a:noFill/>
                  </a:ln>
                  <a:effectLst/>
                </c:spPr>
                <c:invertIfNegative val="0"/>
                <c:val>
                  <c:numRef>
                    <c:extLst>
                      <c:ext uri="{02D57815-91ED-43cb-92C2-25804820EDAC}">
                        <c15:formulaRef>
                          <c15:sqref>'PV 30v kannattavuus 5'!$D$102:$D$113</c15:sqref>
                        </c15:formulaRef>
                      </c:ext>
                    </c:extLst>
                    <c:numCache>
                      <c:formatCode>0.00</c:formatCode>
                      <c:ptCount val="12"/>
                      <c:pt idx="0">
                        <c:v>0.32</c:v>
                      </c:pt>
                      <c:pt idx="1">
                        <c:v>1.1000000000000001</c:v>
                      </c:pt>
                      <c:pt idx="2">
                        <c:v>2.44</c:v>
                      </c:pt>
                      <c:pt idx="3">
                        <c:v>3.96</c:v>
                      </c:pt>
                      <c:pt idx="4">
                        <c:v>5.41</c:v>
                      </c:pt>
                      <c:pt idx="5">
                        <c:v>5.63</c:v>
                      </c:pt>
                      <c:pt idx="6">
                        <c:v>5.6</c:v>
                      </c:pt>
                      <c:pt idx="7">
                        <c:v>4.09</c:v>
                      </c:pt>
                      <c:pt idx="8">
                        <c:v>2.54</c:v>
                      </c:pt>
                      <c:pt idx="9">
                        <c:v>1.18</c:v>
                      </c:pt>
                      <c:pt idx="10">
                        <c:v>0.5</c:v>
                      </c:pt>
                      <c:pt idx="11">
                        <c:v>0.2</c:v>
                      </c:pt>
                    </c:numCache>
                  </c:numRef>
                </c:val>
                <c:extLst>
                  <c:ext xmlns:c16="http://schemas.microsoft.com/office/drawing/2014/chart" uri="{C3380CC4-5D6E-409C-BE32-E72D297353CC}">
                    <c16:uniqueId val="{00000002-D39D-4188-9CAE-7A6F18131B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'PV 30v kannattavuus 5'!$E$101</c15:sqref>
                        </c15:formulaRef>
                      </c:ext>
                    </c:extLst>
                    <c:strCache>
                      <c:ptCount val="1"/>
                      <c:pt idx="0">
                        <c:v> Sähkön ostohinta €/MWh/kk</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5'!$E$102:$E$113</c15:sqref>
                        </c15:formulaRef>
                      </c:ext>
                    </c:extLst>
                    <c:numCache>
                      <c:formatCode>0.0</c:formatCode>
                      <c:ptCount val="12"/>
                      <c:pt idx="0">
                        <c:v>141.22514999999999</c:v>
                      </c:pt>
                      <c:pt idx="1">
                        <c:v>141.22514999999999</c:v>
                      </c:pt>
                      <c:pt idx="2">
                        <c:v>141.22514999999999</c:v>
                      </c:pt>
                      <c:pt idx="3">
                        <c:v>141.22514999999999</c:v>
                      </c:pt>
                      <c:pt idx="4">
                        <c:v>141.22514999999999</c:v>
                      </c:pt>
                      <c:pt idx="5">
                        <c:v>141.22514999999999</c:v>
                      </c:pt>
                      <c:pt idx="6">
                        <c:v>141.22514999999999</c:v>
                      </c:pt>
                      <c:pt idx="7">
                        <c:v>141.22514999999999</c:v>
                      </c:pt>
                      <c:pt idx="8">
                        <c:v>141.22514999999999</c:v>
                      </c:pt>
                      <c:pt idx="9">
                        <c:v>141.22514999999999</c:v>
                      </c:pt>
                      <c:pt idx="10">
                        <c:v>141.22514999999999</c:v>
                      </c:pt>
                      <c:pt idx="11">
                        <c:v>141.22514999999999</c:v>
                      </c:pt>
                    </c:numCache>
                  </c:numRef>
                </c:val>
                <c:extLst xmlns:c15="http://schemas.microsoft.com/office/drawing/2012/chart">
                  <c:ext xmlns:c16="http://schemas.microsoft.com/office/drawing/2014/chart" uri="{C3380CC4-5D6E-409C-BE32-E72D297353CC}">
                    <c16:uniqueId val="{00000003-D39D-4188-9CAE-7A6F18131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'PV 30v kannattavuus 5'!$F$101</c15:sqref>
                        </c15:formulaRef>
                      </c:ext>
                    </c:extLst>
                    <c:strCache>
                      <c:ptCount val="1"/>
                      <c:pt idx="0">
                        <c:v>Aurinkosähkön ylijäämän myyntihinta €/MWh/kk</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5'!$F$102:$F$113</c15:sqref>
                        </c15:formulaRef>
                      </c:ext>
                    </c:extLst>
                    <c:numCache>
                      <c:formatCode>0.0</c:formatCode>
                      <c:ptCount val="12"/>
                      <c:pt idx="0">
                        <c:v>20</c:v>
                      </c:pt>
                      <c:pt idx="1">
                        <c:v>20</c:v>
                      </c:pt>
                      <c:pt idx="2">
                        <c:v>20</c:v>
                      </c:pt>
                      <c:pt idx="3">
                        <c:v>20</c:v>
                      </c:pt>
                      <c:pt idx="4">
                        <c:v>20</c:v>
                      </c:pt>
                      <c:pt idx="5">
                        <c:v>20</c:v>
                      </c:pt>
                      <c:pt idx="6">
                        <c:v>20</c:v>
                      </c:pt>
                      <c:pt idx="7">
                        <c:v>20</c:v>
                      </c:pt>
                      <c:pt idx="8">
                        <c:v>20</c:v>
                      </c:pt>
                      <c:pt idx="9">
                        <c:v>20</c:v>
                      </c:pt>
                      <c:pt idx="10">
                        <c:v>20</c:v>
                      </c:pt>
                      <c:pt idx="11">
                        <c:v>20</c:v>
                      </c:pt>
                    </c:numCache>
                  </c:numRef>
                </c:val>
                <c:extLst xmlns:c15="http://schemas.microsoft.com/office/drawing/2012/chart">
                  <c:ext xmlns:c16="http://schemas.microsoft.com/office/drawing/2014/chart" uri="{C3380CC4-5D6E-409C-BE32-E72D297353CC}">
                    <c16:uniqueId val="{00000004-D39D-4188-9CAE-7A6F18131BA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'PV 30v kannattavuus 5'!$H$101</c15:sqref>
                        </c15:formulaRef>
                      </c:ext>
                    </c:extLst>
                    <c:strCache>
                      <c:ptCount val="1"/>
                      <c:pt idx="0">
                        <c:v>Aurinkosähköä omaan käyttöön kWh</c:v>
                      </c:pt>
                    </c:strCache>
                  </c:strRef>
                </c:tx>
                <c:spPr>
                  <a:solidFill>
                    <a:schemeClr val="accent5">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5'!$H$102:$H$113</c15:sqref>
                        </c15:formulaRef>
                      </c:ext>
                    </c:extLst>
                    <c:numCache>
                      <c:formatCode>0</c:formatCode>
                      <c:ptCount val="12"/>
                      <c:pt idx="0">
                        <c:v>43.407936000000007</c:v>
                      </c:pt>
                      <c:pt idx="1">
                        <c:v>134.77464000000003</c:v>
                      </c:pt>
                      <c:pt idx="2">
                        <c:v>330.98551200000003</c:v>
                      </c:pt>
                      <c:pt idx="3">
                        <c:v>413.28000000000003</c:v>
                      </c:pt>
                      <c:pt idx="4">
                        <c:v>388.68000000000006</c:v>
                      </c:pt>
                      <c:pt idx="5">
                        <c:v>344.40000000000009</c:v>
                      </c:pt>
                      <c:pt idx="6">
                        <c:v>344.40000000000009</c:v>
                      </c:pt>
                      <c:pt idx="7">
                        <c:v>388.68000000000006</c:v>
                      </c:pt>
                      <c:pt idx="8">
                        <c:v>333.43596000000002</c:v>
                      </c:pt>
                      <c:pt idx="9">
                        <c:v>160.06676400000003</c:v>
                      </c:pt>
                      <c:pt idx="10">
                        <c:v>65.637</c:v>
                      </c:pt>
                      <c:pt idx="11">
                        <c:v>27.129960000000004</c:v>
                      </c:pt>
                    </c:numCache>
                  </c:numRef>
                </c:val>
                <c:extLst xmlns:c15="http://schemas.microsoft.com/office/drawing/2012/chart">
                  <c:ext xmlns:c16="http://schemas.microsoft.com/office/drawing/2014/chart" uri="{C3380CC4-5D6E-409C-BE32-E72D297353CC}">
                    <c16:uniqueId val="{00000005-D39D-4188-9CAE-7A6F18131BA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'PV 30v kannattavuus 5'!$I$101</c15:sqref>
                        </c15:formulaRef>
                      </c:ext>
                    </c:extLst>
                    <c:strCache>
                      <c:ptCount val="1"/>
                      <c:pt idx="0">
                        <c:v>Aurinkosähköä myyntiin kWh</c:v>
                      </c:pt>
                    </c:strCache>
                  </c:strRef>
                </c:tx>
                <c:spPr>
                  <a:solidFill>
                    <a:schemeClr val="accent1">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5'!$I$102:$I$113</c15:sqref>
                        </c15:formulaRef>
                      </c:ext>
                    </c:extLst>
                    <c:numCache>
                      <c:formatCode>0</c:formatCode>
                      <c:ptCount val="12"/>
                      <c:pt idx="0">
                        <c:v>0</c:v>
                      </c:pt>
                      <c:pt idx="1">
                        <c:v>0</c:v>
                      </c:pt>
                      <c:pt idx="2">
                        <c:v>0</c:v>
                      </c:pt>
                      <c:pt idx="3">
                        <c:v>106.56504000000001</c:v>
                      </c:pt>
                      <c:pt idx="4">
                        <c:v>345.18541800000003</c:v>
                      </c:pt>
                      <c:pt idx="5">
                        <c:v>394.67262000000005</c:v>
                      </c:pt>
                      <c:pt idx="6">
                        <c:v>415.23887999999999</c:v>
                      </c:pt>
                      <c:pt idx="7">
                        <c:v>166.12768199999994</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D39D-4188-9CAE-7A6F18131B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'PV 30v kannattavuus 5'!$J$101</c15:sqref>
                        </c15:formulaRef>
                      </c:ext>
                    </c:extLst>
                    <c:strCache>
                      <c:ptCount val="1"/>
                      <c:pt idx="0">
                        <c:v>Sähkön ostotarve kWh</c:v>
                      </c:pt>
                    </c:strCache>
                  </c:strRef>
                </c:tx>
                <c:spPr>
                  <a:solidFill>
                    <a:schemeClr val="accent3">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5'!$J$102:$J$113</c15:sqref>
                        </c15:formulaRef>
                      </c:ext>
                    </c:extLst>
                    <c:numCache>
                      <c:formatCode>0</c:formatCode>
                      <c:ptCount val="12"/>
                      <c:pt idx="0">
                        <c:v>1063.5920639999999</c:v>
                      </c:pt>
                      <c:pt idx="1">
                        <c:v>972.22535999999991</c:v>
                      </c:pt>
                      <c:pt idx="2">
                        <c:v>702.21448800000007</c:v>
                      </c:pt>
                      <c:pt idx="3">
                        <c:v>619.92000000000007</c:v>
                      </c:pt>
                      <c:pt idx="4">
                        <c:v>583.02</c:v>
                      </c:pt>
                      <c:pt idx="5">
                        <c:v>516.6</c:v>
                      </c:pt>
                      <c:pt idx="6">
                        <c:v>516.6</c:v>
                      </c:pt>
                      <c:pt idx="7">
                        <c:v>583.02</c:v>
                      </c:pt>
                      <c:pt idx="8">
                        <c:v>699.76404000000002</c:v>
                      </c:pt>
                      <c:pt idx="9">
                        <c:v>946.93323599999997</c:v>
                      </c:pt>
                      <c:pt idx="10">
                        <c:v>1041.3630000000001</c:v>
                      </c:pt>
                      <c:pt idx="11">
                        <c:v>1079.87004</c:v>
                      </c:pt>
                    </c:numCache>
                  </c:numRef>
                </c:val>
                <c:extLst xmlns:c15="http://schemas.microsoft.com/office/drawing/2012/chart">
                  <c:ext xmlns:c16="http://schemas.microsoft.com/office/drawing/2014/chart" uri="{C3380CC4-5D6E-409C-BE32-E72D297353CC}">
                    <c16:uniqueId val="{00000007-D39D-4188-9CAE-7A6F18131B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'PV 30v kannattavuus 5'!$K$101</c15:sqref>
                        </c15:formulaRef>
                      </c:ext>
                    </c:extLst>
                    <c:strCache>
                      <c:ptCount val="1"/>
                      <c:pt idx="0">
                        <c:v>Omaan käyttöön tuotetun aurinkosähkön arvo €</c:v>
                      </c:pt>
                    </c:strCache>
                  </c:strRef>
                </c:tx>
                <c:spPr>
                  <a:solidFill>
                    <a:schemeClr val="accent5">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5'!$K$102:$K$113</c15:sqref>
                        </c15:formulaRef>
                      </c:ext>
                    </c:extLst>
                    <c:numCache>
                      <c:formatCode>#\ ##0.00\ "€"</c:formatCode>
                      <c:ptCount val="12"/>
                      <c:pt idx="0">
                        <c:v>6.1302922727904008</c:v>
                      </c:pt>
                      <c:pt idx="1">
                        <c:v>19.033568750196</c:v>
                      </c:pt>
                      <c:pt idx="2">
                        <c:v>46.743478580026803</c:v>
                      </c:pt>
                      <c:pt idx="3">
                        <c:v>73.415193750755989</c:v>
                      </c:pt>
                      <c:pt idx="4">
                        <c:v>103.6402537368627</c:v>
                      </c:pt>
                      <c:pt idx="5">
                        <c:v>104.37564162039301</c:v>
                      </c:pt>
                      <c:pt idx="6">
                        <c:v>107.280114773832</c:v>
                      </c:pt>
                      <c:pt idx="7">
                        <c:v>78.352798111602283</c:v>
                      </c:pt>
                      <c:pt idx="8">
                        <c:v>47.089543466393998</c:v>
                      </c:pt>
                      <c:pt idx="9">
                        <c:v>22.605452755914602</c:v>
                      </c:pt>
                      <c:pt idx="10">
                        <c:v>9.2695951705499997</c:v>
                      </c:pt>
                      <c:pt idx="11">
                        <c:v>3.8314326704940003</c:v>
                      </c:pt>
                    </c:numCache>
                  </c:numRef>
                </c:val>
                <c:extLst xmlns:c15="http://schemas.microsoft.com/office/drawing/2012/chart">
                  <c:ext xmlns:c16="http://schemas.microsoft.com/office/drawing/2014/chart" uri="{C3380CC4-5D6E-409C-BE32-E72D297353CC}">
                    <c16:uniqueId val="{00000008-D39D-4188-9CAE-7A6F18131B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'PV 30v kannattavuus 5'!$L$101</c15:sqref>
                        </c15:formulaRef>
                      </c:ext>
                    </c:extLst>
                    <c:strCache>
                      <c:ptCount val="1"/>
                      <c:pt idx="0">
                        <c:v>Sähkön myyntitulot €</c:v>
                      </c:pt>
                    </c:strCache>
                  </c:strRef>
                </c:tx>
                <c:spPr>
                  <a:solidFill>
                    <a:schemeClr val="accent1">
                      <a:lumMod val="8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5'!$L$102:$L$113</c15:sqref>
                        </c15:formulaRef>
                      </c:ext>
                    </c:extLst>
                    <c:numCache>
                      <c:formatCode>#\ ##0.00\ "€"</c:formatCode>
                      <c:ptCount val="12"/>
                      <c:pt idx="0">
                        <c:v>0</c:v>
                      </c:pt>
                      <c:pt idx="1">
                        <c:v>0</c:v>
                      </c:pt>
                      <c:pt idx="2">
                        <c:v>0</c:v>
                      </c:pt>
                      <c:pt idx="3">
                        <c:v>2.1313008</c:v>
                      </c:pt>
                      <c:pt idx="4">
                        <c:v>6.9037083600000004</c:v>
                      </c:pt>
                      <c:pt idx="5">
                        <c:v>7.893452400000001</c:v>
                      </c:pt>
                      <c:pt idx="6">
                        <c:v>8.3047775999999995</c:v>
                      </c:pt>
                      <c:pt idx="7">
                        <c:v>3.3225536399999989</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D39D-4188-9CAE-7A6F18131BA2}"/>
                  </c:ext>
                </c:extLst>
              </c15:ser>
            </c15:filteredBarSeries>
          </c:ext>
        </c:extLst>
      </c:barChart>
      <c:catAx>
        <c:axId val="180998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268895"/>
        <c:crosses val="autoZero"/>
        <c:auto val="1"/>
        <c:lblAlgn val="ctr"/>
        <c:lblOffset val="100"/>
        <c:noMultiLvlLbl val="0"/>
      </c:catAx>
      <c:valAx>
        <c:axId val="163268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998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23</xdr:col>
      <xdr:colOff>-1</xdr:colOff>
      <xdr:row>38</xdr:row>
      <xdr:rowOff>4234</xdr:rowOff>
    </xdr:from>
    <xdr:to>
      <xdr:col>33</xdr:col>
      <xdr:colOff>95250</xdr:colOff>
      <xdr:row>56</xdr:row>
      <xdr:rowOff>158750</xdr:rowOff>
    </xdr:to>
    <xdr:graphicFrame macro="">
      <xdr:nvGraphicFramePr>
        <xdr:cNvPr id="2" name="Kaavio 1">
          <a:extLst>
            <a:ext uri="{FF2B5EF4-FFF2-40B4-BE49-F238E27FC236}">
              <a16:creationId xmlns:a16="http://schemas.microsoft.com/office/drawing/2014/main" id="{AE8A5808-F090-493B-8A04-A79AC5CFB2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82550</xdr:colOff>
      <xdr:row>38</xdr:row>
      <xdr:rowOff>57150</xdr:rowOff>
    </xdr:from>
    <xdr:to>
      <xdr:col>32</xdr:col>
      <xdr:colOff>232833</xdr:colOff>
      <xdr:row>61</xdr:row>
      <xdr:rowOff>10583</xdr:rowOff>
    </xdr:to>
    <xdr:graphicFrame macro="">
      <xdr:nvGraphicFramePr>
        <xdr:cNvPr id="2" name="Kaavio 1">
          <a:extLst>
            <a:ext uri="{FF2B5EF4-FFF2-40B4-BE49-F238E27FC236}">
              <a16:creationId xmlns:a16="http://schemas.microsoft.com/office/drawing/2014/main" id="{E220A22E-73F2-40D0-8EC4-9F45E69B1E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222250</xdr:colOff>
      <xdr:row>100</xdr:row>
      <xdr:rowOff>388258</xdr:rowOff>
    </xdr:from>
    <xdr:to>
      <xdr:col>17</xdr:col>
      <xdr:colOff>326570</xdr:colOff>
      <xdr:row>113</xdr:row>
      <xdr:rowOff>36286</xdr:rowOff>
    </xdr:to>
    <xdr:graphicFrame macro="">
      <xdr:nvGraphicFramePr>
        <xdr:cNvPr id="2" name="Kaavio 1">
          <a:extLst>
            <a:ext uri="{FF2B5EF4-FFF2-40B4-BE49-F238E27FC236}">
              <a16:creationId xmlns:a16="http://schemas.microsoft.com/office/drawing/2014/main" id="{6D7C5F7C-178A-49FB-84FD-5C44F44C2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222250</xdr:colOff>
      <xdr:row>100</xdr:row>
      <xdr:rowOff>388258</xdr:rowOff>
    </xdr:from>
    <xdr:to>
      <xdr:col>17</xdr:col>
      <xdr:colOff>326570</xdr:colOff>
      <xdr:row>113</xdr:row>
      <xdr:rowOff>36286</xdr:rowOff>
    </xdr:to>
    <xdr:graphicFrame macro="">
      <xdr:nvGraphicFramePr>
        <xdr:cNvPr id="2" name="Kaavio 1">
          <a:extLst>
            <a:ext uri="{FF2B5EF4-FFF2-40B4-BE49-F238E27FC236}">
              <a16:creationId xmlns:a16="http://schemas.microsoft.com/office/drawing/2014/main" id="{300AE465-515C-4859-AE28-B8109EF10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estavyysloikka.ymparisto.fi/maalampo-laski-ison-paritaloasunnon-energiakuluja-lahes-3-000-euroa-vuodessa/" TargetMode="External"/><Relationship Id="rId2" Type="http://schemas.openxmlformats.org/officeDocument/2006/relationships/hyperlink" Target="https://www.motiva.fi/files/17067/Pitkan_aikavalin_korjausrakentamisen_strategia_2020-2050.pdf" TargetMode="External"/><Relationship Id="rId1" Type="http://schemas.openxmlformats.org/officeDocument/2006/relationships/hyperlink" Target="https://www.ymparisto.fi/fi-FI/Rakentaminen/Korjaustieto/Pientalot/Energiatehokkuus/Energiatehokas_pientalo/Energiankulutu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ara.fi/" TargetMode="External"/><Relationship Id="rId13" Type="http://schemas.openxmlformats.org/officeDocument/2006/relationships/hyperlink" Target="https://www.motiva.fi/ratkaisut/energiankaytto_suomessa/co2-paastokertoimet" TargetMode="External"/><Relationship Id="rId3" Type="http://schemas.openxmlformats.org/officeDocument/2006/relationships/hyperlink" Target="http://www.businessfinland.fi/" TargetMode="External"/><Relationship Id="rId7" Type="http://schemas.openxmlformats.org/officeDocument/2006/relationships/hyperlink" Target="http://www.businessfinland.fi/" TargetMode="External"/><Relationship Id="rId12" Type="http://schemas.openxmlformats.org/officeDocument/2006/relationships/hyperlink" Target="https://co2data.fi/rakentaminen/" TargetMode="External"/><Relationship Id="rId17" Type="http://schemas.openxmlformats.org/officeDocument/2006/relationships/comments" Target="../comments1.xml"/><Relationship Id="rId2" Type="http://schemas.openxmlformats.org/officeDocument/2006/relationships/hyperlink" Target="http://www.vero.fi/" TargetMode="External"/><Relationship Id="rId16" Type="http://schemas.openxmlformats.org/officeDocument/2006/relationships/vmlDrawing" Target="../drawings/vmlDrawing1.vml"/><Relationship Id="rId1" Type="http://schemas.openxmlformats.org/officeDocument/2006/relationships/hyperlink" Target="http://www.energia.fi/" TargetMode="External"/><Relationship Id="rId6" Type="http://schemas.openxmlformats.org/officeDocument/2006/relationships/hyperlink" Target="http://www.vero.fi/" TargetMode="External"/><Relationship Id="rId11" Type="http://schemas.openxmlformats.org/officeDocument/2006/relationships/hyperlink" Target="https://co2data.fi/rakentaminen/" TargetMode="External"/><Relationship Id="rId5" Type="http://schemas.openxmlformats.org/officeDocument/2006/relationships/hyperlink" Target="http://www.sulpu.fi/" TargetMode="External"/><Relationship Id="rId15" Type="http://schemas.openxmlformats.org/officeDocument/2006/relationships/drawing" Target="../drawings/drawing1.xml"/><Relationship Id="rId10" Type="http://schemas.openxmlformats.org/officeDocument/2006/relationships/hyperlink" Target="http://www.ilmastolaskuri.fi/" TargetMode="External"/><Relationship Id="rId4" Type="http://schemas.openxmlformats.org/officeDocument/2006/relationships/hyperlink" Target="http://www.ara.fi/" TargetMode="External"/><Relationship Id="rId9" Type="http://schemas.openxmlformats.org/officeDocument/2006/relationships/hyperlink" Target="http://www.ely-keskus.fi/web/ely/oljylammityksen-vaihtajalle"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ara.fi/" TargetMode="External"/><Relationship Id="rId13" Type="http://schemas.openxmlformats.org/officeDocument/2006/relationships/printerSettings" Target="../printerSettings/printerSettings4.bin"/><Relationship Id="rId3" Type="http://schemas.openxmlformats.org/officeDocument/2006/relationships/hyperlink" Target="http://www.businessfinland.fi/" TargetMode="External"/><Relationship Id="rId7" Type="http://schemas.openxmlformats.org/officeDocument/2006/relationships/hyperlink" Target="http://www.businessfinland.fi/" TargetMode="External"/><Relationship Id="rId12" Type="http://schemas.openxmlformats.org/officeDocument/2006/relationships/hyperlink" Target="http://www.ely-keskus.fi/web/ely/oljylammityksen-vaihtajalle" TargetMode="External"/><Relationship Id="rId2" Type="http://schemas.openxmlformats.org/officeDocument/2006/relationships/hyperlink" Target="http://www.vero.fi/" TargetMode="External"/><Relationship Id="rId16" Type="http://schemas.openxmlformats.org/officeDocument/2006/relationships/comments" Target="../comments2.xml"/><Relationship Id="rId1" Type="http://schemas.openxmlformats.org/officeDocument/2006/relationships/hyperlink" Target="http://www.energia.fi/" TargetMode="External"/><Relationship Id="rId6" Type="http://schemas.openxmlformats.org/officeDocument/2006/relationships/hyperlink" Target="http://www.vero.fi/" TargetMode="External"/><Relationship Id="rId11" Type="http://schemas.openxmlformats.org/officeDocument/2006/relationships/hyperlink" Target="https://www.motiva.fi/ratkaisut/energiankaytto_suomessa/co2-paastokertoimet" TargetMode="External"/><Relationship Id="rId5" Type="http://schemas.openxmlformats.org/officeDocument/2006/relationships/hyperlink" Target="http://www.sulpu.fi/" TargetMode="External"/><Relationship Id="rId15" Type="http://schemas.openxmlformats.org/officeDocument/2006/relationships/vmlDrawing" Target="../drawings/vmlDrawing2.vml"/><Relationship Id="rId10" Type="http://schemas.openxmlformats.org/officeDocument/2006/relationships/hyperlink" Target="https://co2data.fi/rakentaminen/" TargetMode="External"/><Relationship Id="rId4" Type="http://schemas.openxmlformats.org/officeDocument/2006/relationships/hyperlink" Target="http://www.ara.fi/" TargetMode="External"/><Relationship Id="rId9" Type="http://schemas.openxmlformats.org/officeDocument/2006/relationships/hyperlink" Target="https://co2data.fi/rakentaminen/" TargetMode="External"/><Relationship Id="rId1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s://co2data.fi/rakentaminen/" TargetMode="External"/><Relationship Id="rId7" Type="http://schemas.openxmlformats.org/officeDocument/2006/relationships/comments" Target="../comments3.xml"/><Relationship Id="rId2" Type="http://schemas.openxmlformats.org/officeDocument/2006/relationships/hyperlink" Target="https://co2data.fi/rakentaminen/" TargetMode="External"/><Relationship Id="rId1" Type="http://schemas.openxmlformats.org/officeDocument/2006/relationships/hyperlink" Target="http://www.ilmastolaskuri.fi/"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hyperlink" Target="https://www.motiva.fi/ratkaisut/energiankaytto_suomessa/co2-paastokertoime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o2data.fi/rakentaminen/" TargetMode="External"/><Relationship Id="rId7" Type="http://schemas.openxmlformats.org/officeDocument/2006/relationships/comments" Target="../comments4.xml"/><Relationship Id="rId2" Type="http://schemas.openxmlformats.org/officeDocument/2006/relationships/hyperlink" Target="https://co2data.fi/rakentaminen/" TargetMode="External"/><Relationship Id="rId1" Type="http://schemas.openxmlformats.org/officeDocument/2006/relationships/hyperlink" Target="http://www.ilmastolaskuri.fi/"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hyperlink" Target="https://www.motiva.fi/ratkaisut/energiankaytto_suomessa/co2-paastokertoim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4980-6671-4FDE-8868-1B3C717B0D6C}">
  <dimension ref="A1:H27"/>
  <sheetViews>
    <sheetView tabSelected="1" topLeftCell="A9" workbookViewId="0">
      <selection activeCell="B13" sqref="B13"/>
    </sheetView>
  </sheetViews>
  <sheetFormatPr defaultRowHeight="15" x14ac:dyDescent="0.25"/>
  <cols>
    <col min="3" max="3" width="10.42578125" customWidth="1"/>
  </cols>
  <sheetData>
    <row r="1" spans="1:8" x14ac:dyDescent="0.25">
      <c r="A1" s="329" t="s">
        <v>124</v>
      </c>
      <c r="B1" s="330"/>
      <c r="C1" s="330"/>
      <c r="D1" s="330"/>
      <c r="E1" s="330"/>
      <c r="F1" s="330"/>
      <c r="G1" s="330"/>
      <c r="H1" s="330"/>
    </row>
    <row r="2" spans="1:8" x14ac:dyDescent="0.25">
      <c r="A2" s="330"/>
      <c r="B2" s="330"/>
      <c r="C2" s="330"/>
      <c r="D2" s="330"/>
      <c r="E2" s="330"/>
      <c r="F2" s="330"/>
      <c r="G2" s="330"/>
      <c r="H2" s="330"/>
    </row>
    <row r="3" spans="1:8" x14ac:dyDescent="0.25">
      <c r="A3" s="330"/>
      <c r="B3" s="330"/>
      <c r="C3" s="330"/>
      <c r="D3" s="330"/>
      <c r="E3" s="330"/>
      <c r="F3" s="330"/>
      <c r="G3" s="330"/>
      <c r="H3" s="330"/>
    </row>
    <row r="4" spans="1:8" x14ac:dyDescent="0.25">
      <c r="A4" s="330"/>
      <c r="B4" s="330"/>
      <c r="C4" s="330"/>
      <c r="D4" s="330"/>
      <c r="E4" s="330"/>
      <c r="F4" s="330"/>
      <c r="G4" s="330"/>
      <c r="H4" s="330"/>
    </row>
    <row r="5" spans="1:8" x14ac:dyDescent="0.25">
      <c r="A5" s="330"/>
      <c r="B5" s="330"/>
      <c r="C5" s="330"/>
      <c r="D5" s="330"/>
      <c r="E5" s="330"/>
      <c r="F5" s="330"/>
      <c r="G5" s="330"/>
      <c r="H5" s="330"/>
    </row>
    <row r="7" spans="1:8" x14ac:dyDescent="0.25">
      <c r="A7" s="331" t="s">
        <v>125</v>
      </c>
      <c r="B7" s="331"/>
      <c r="C7" s="331"/>
      <c r="D7" s="331"/>
      <c r="E7" s="331"/>
      <c r="F7" s="331"/>
      <c r="G7" s="331"/>
      <c r="H7" s="331"/>
    </row>
    <row r="8" spans="1:8" x14ac:dyDescent="0.25">
      <c r="A8" s="331"/>
      <c r="B8" s="331"/>
      <c r="C8" s="331"/>
      <c r="D8" s="331"/>
      <c r="E8" s="331"/>
      <c r="F8" s="331"/>
      <c r="G8" s="331"/>
      <c r="H8" s="331"/>
    </row>
    <row r="9" spans="1:8" x14ac:dyDescent="0.25">
      <c r="A9" s="332" t="s">
        <v>126</v>
      </c>
      <c r="B9" s="332"/>
      <c r="C9" s="332"/>
      <c r="D9" s="332"/>
      <c r="E9" s="332"/>
      <c r="F9" s="332"/>
      <c r="G9" s="332"/>
      <c r="H9" s="332"/>
    </row>
    <row r="10" spans="1:8" x14ac:dyDescent="0.25">
      <c r="A10" s="332"/>
      <c r="B10" s="332"/>
      <c r="C10" s="332"/>
      <c r="D10" s="332"/>
      <c r="E10" s="332"/>
      <c r="F10" s="332"/>
      <c r="G10" s="332"/>
      <c r="H10" s="332"/>
    </row>
    <row r="11" spans="1:8" x14ac:dyDescent="0.25">
      <c r="A11" s="331" t="s">
        <v>132</v>
      </c>
      <c r="B11" s="331"/>
      <c r="C11" s="331"/>
      <c r="D11" s="331"/>
      <c r="E11" s="331"/>
      <c r="F11" s="331"/>
      <c r="G11" s="331"/>
      <c r="H11" s="331"/>
    </row>
    <row r="12" spans="1:8" x14ac:dyDescent="0.25">
      <c r="A12" s="331"/>
      <c r="B12" s="331"/>
      <c r="C12" s="331"/>
      <c r="D12" s="331"/>
      <c r="E12" s="331"/>
      <c r="F12" s="331"/>
      <c r="G12" s="331"/>
      <c r="H12" s="331"/>
    </row>
    <row r="13" spans="1:8" x14ac:dyDescent="0.25">
      <c r="A13" s="84"/>
      <c r="B13" s="84"/>
      <c r="C13" s="84"/>
      <c r="D13" s="84"/>
      <c r="E13" s="84"/>
      <c r="F13" s="84"/>
      <c r="G13" s="84"/>
      <c r="H13" s="84"/>
    </row>
    <row r="14" spans="1:8" x14ac:dyDescent="0.25">
      <c r="A14" s="331" t="s">
        <v>127</v>
      </c>
      <c r="B14" s="331"/>
      <c r="C14" s="331"/>
      <c r="D14" s="331"/>
      <c r="E14" s="331"/>
      <c r="F14" s="331"/>
      <c r="G14" s="331"/>
      <c r="H14" s="331"/>
    </row>
    <row r="15" spans="1:8" x14ac:dyDescent="0.25">
      <c r="A15" s="331"/>
      <c r="B15" s="331"/>
      <c r="C15" s="331"/>
      <c r="D15" s="331"/>
      <c r="E15" s="331"/>
      <c r="F15" s="331"/>
      <c r="G15" s="331"/>
      <c r="H15" s="331"/>
    </row>
    <row r="16" spans="1:8" x14ac:dyDescent="0.25">
      <c r="A16" s="331"/>
      <c r="B16" s="331"/>
      <c r="C16" s="331"/>
      <c r="D16" s="331"/>
      <c r="E16" s="331"/>
      <c r="F16" s="331"/>
      <c r="G16" s="331"/>
      <c r="H16" s="331"/>
    </row>
    <row r="18" spans="1:8" x14ac:dyDescent="0.25">
      <c r="A18" s="333" t="s">
        <v>227</v>
      </c>
      <c r="B18" s="333"/>
      <c r="C18" s="333"/>
      <c r="D18" s="333"/>
      <c r="E18" s="333"/>
      <c r="F18" s="333"/>
      <c r="G18" s="333"/>
      <c r="H18" s="333"/>
    </row>
    <row r="19" spans="1:8" x14ac:dyDescent="0.25">
      <c r="A19" s="333"/>
      <c r="B19" s="333"/>
      <c r="C19" s="333"/>
      <c r="D19" s="333"/>
      <c r="E19" s="333"/>
      <c r="F19" s="333"/>
      <c r="G19" s="333"/>
      <c r="H19" s="333"/>
    </row>
    <row r="22" spans="1:8" x14ac:dyDescent="0.25">
      <c r="B22" t="s">
        <v>128</v>
      </c>
      <c r="C22" t="s">
        <v>129</v>
      </c>
      <c r="D22" t="s">
        <v>123</v>
      </c>
    </row>
    <row r="23" spans="1:8" x14ac:dyDescent="0.25">
      <c r="B23" s="326" t="s">
        <v>245</v>
      </c>
      <c r="C23" s="327">
        <v>44091</v>
      </c>
      <c r="D23" s="328" t="s">
        <v>246</v>
      </c>
      <c r="E23" s="328"/>
      <c r="F23" s="328"/>
      <c r="G23" s="328"/>
      <c r="H23" s="328"/>
    </row>
    <row r="24" spans="1:8" x14ac:dyDescent="0.25">
      <c r="B24" s="326"/>
      <c r="C24" s="327"/>
      <c r="D24" s="328"/>
      <c r="E24" s="328"/>
      <c r="F24" s="328"/>
      <c r="G24" s="328"/>
      <c r="H24" s="328"/>
    </row>
    <row r="27" spans="1:8" ht="15.75" x14ac:dyDescent="0.25">
      <c r="B27" s="252" t="s">
        <v>279</v>
      </c>
    </row>
  </sheetData>
  <mergeCells count="9">
    <mergeCell ref="B23:B24"/>
    <mergeCell ref="C23:C24"/>
    <mergeCell ref="D23:H24"/>
    <mergeCell ref="A1:H5"/>
    <mergeCell ref="A7:H8"/>
    <mergeCell ref="A9:H10"/>
    <mergeCell ref="A11:H12"/>
    <mergeCell ref="A14:H16"/>
    <mergeCell ref="A18:H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FEFC-761A-4AED-A550-E823656C83CE}">
  <sheetPr>
    <outlinePr summaryBelow="0" summaryRight="0"/>
  </sheetPr>
  <dimension ref="A1:K926"/>
  <sheetViews>
    <sheetView showGridLines="0" zoomScale="85" zoomScaleNormal="85" workbookViewId="0">
      <selection activeCell="A2" sqref="A2"/>
    </sheetView>
  </sheetViews>
  <sheetFormatPr defaultColWidth="14.5703125" defaultRowHeight="15" customHeight="1" x14ac:dyDescent="0.25"/>
  <cols>
    <col min="1" max="1" width="25.5703125" style="2" customWidth="1"/>
    <col min="2" max="2" width="15.5703125" style="2" customWidth="1"/>
    <col min="3" max="3" width="25.5703125" style="2" customWidth="1"/>
    <col min="4" max="4" width="20.5703125" style="2" customWidth="1"/>
    <col min="5" max="5" width="18.140625" style="2" customWidth="1"/>
    <col min="6" max="7" width="15.5703125" style="2" customWidth="1"/>
    <col min="8" max="8" width="25.5703125" style="2" customWidth="1"/>
    <col min="9" max="10" width="15.5703125" style="2" customWidth="1"/>
    <col min="11" max="11" width="30.5703125" style="2" customWidth="1"/>
    <col min="12" max="12" width="15.140625" style="2" customWidth="1"/>
    <col min="13" max="13" width="15.5703125" style="2" customWidth="1"/>
    <col min="14" max="14" width="20.85546875" style="2" customWidth="1"/>
    <col min="15" max="15" width="15.42578125" style="2" customWidth="1"/>
    <col min="16" max="16" width="13.140625" style="2" customWidth="1"/>
    <col min="17" max="17" width="14.5703125" style="2" customWidth="1"/>
    <col min="18" max="16384" width="14.5703125" style="2"/>
  </cols>
  <sheetData>
    <row r="1" spans="1:9" ht="21" customHeight="1" x14ac:dyDescent="0.25">
      <c r="A1" s="336" t="s">
        <v>109</v>
      </c>
      <c r="B1" s="336"/>
      <c r="C1" s="336"/>
      <c r="D1" s="336"/>
      <c r="E1" s="336"/>
      <c r="F1" s="336"/>
      <c r="G1" s="336"/>
    </row>
    <row r="2" spans="1:9" ht="18.75" x14ac:dyDescent="0.3">
      <c r="A2" s="1"/>
    </row>
    <row r="3" spans="1:9" ht="30.95" customHeight="1" x14ac:dyDescent="0.25">
      <c r="A3" s="334" t="s">
        <v>252</v>
      </c>
      <c r="B3" s="334"/>
      <c r="C3" s="334"/>
      <c r="D3" s="334"/>
      <c r="E3" s="334"/>
      <c r="F3" s="334"/>
      <c r="G3" s="334"/>
      <c r="H3" s="302"/>
      <c r="I3" s="302"/>
    </row>
    <row r="4" spans="1:9" ht="30.95" customHeight="1" x14ac:dyDescent="0.25">
      <c r="A4" s="334" t="s">
        <v>264</v>
      </c>
      <c r="B4" s="334"/>
      <c r="C4" s="334"/>
      <c r="D4" s="334"/>
      <c r="E4" s="334"/>
      <c r="F4" s="334"/>
      <c r="G4" s="334"/>
      <c r="H4" s="302"/>
      <c r="I4" s="302"/>
    </row>
    <row r="5" spans="1:9" s="83" customFormat="1" ht="15.75" x14ac:dyDescent="0.25">
      <c r="A5" s="335" t="s">
        <v>253</v>
      </c>
      <c r="B5" s="335"/>
      <c r="C5" s="335"/>
      <c r="D5" s="335"/>
      <c r="E5" s="335"/>
      <c r="F5" s="335"/>
      <c r="G5" s="317"/>
      <c r="H5" s="302"/>
      <c r="I5" s="302"/>
    </row>
    <row r="6" spans="1:9" s="104" customFormat="1" ht="15.75" x14ac:dyDescent="0.25">
      <c r="A6" s="294" t="s">
        <v>133</v>
      </c>
      <c r="B6" s="295"/>
      <c r="C6" s="296" t="s">
        <v>134</v>
      </c>
      <c r="D6" s="295"/>
      <c r="E6" s="295"/>
      <c r="F6" s="295"/>
      <c r="G6" s="295"/>
    </row>
    <row r="7" spans="1:9" s="83" customFormat="1" ht="30.95" customHeight="1" x14ac:dyDescent="0.25">
      <c r="A7" s="334" t="s">
        <v>248</v>
      </c>
      <c r="B7" s="334"/>
      <c r="C7" s="334"/>
      <c r="D7" s="334"/>
      <c r="E7" s="334"/>
      <c r="F7" s="334"/>
      <c r="G7" s="334"/>
      <c r="H7" s="302"/>
      <c r="I7" s="302"/>
    </row>
    <row r="8" spans="1:9" s="104" customFormat="1" ht="15.75" x14ac:dyDescent="0.25">
      <c r="A8" s="294" t="s">
        <v>133</v>
      </c>
      <c r="B8" s="295"/>
      <c r="C8" s="296" t="s">
        <v>247</v>
      </c>
      <c r="D8" s="295"/>
      <c r="E8" s="295"/>
      <c r="F8" s="295"/>
      <c r="G8" s="295"/>
    </row>
    <row r="9" spans="1:9" ht="15.75" x14ac:dyDescent="0.25">
      <c r="A9" s="6"/>
    </row>
    <row r="10" spans="1:9" ht="15.75" x14ac:dyDescent="0.25">
      <c r="A10" s="334" t="s">
        <v>241</v>
      </c>
      <c r="B10" s="334"/>
      <c r="C10" s="334"/>
      <c r="D10" s="334"/>
      <c r="E10" s="334"/>
      <c r="F10" s="334"/>
      <c r="G10" s="295"/>
    </row>
    <row r="11" spans="1:9" s="75" customFormat="1" ht="30.95" customHeight="1" x14ac:dyDescent="0.25">
      <c r="A11" s="334" t="s">
        <v>237</v>
      </c>
      <c r="B11" s="334"/>
      <c r="C11" s="334"/>
      <c r="D11" s="334"/>
      <c r="E11" s="334"/>
      <c r="F11" s="334"/>
      <c r="G11" s="334"/>
      <c r="H11" s="302"/>
      <c r="I11" s="302"/>
    </row>
    <row r="12" spans="1:9" ht="15.75" x14ac:dyDescent="0.25">
      <c r="A12" s="335" t="s">
        <v>228</v>
      </c>
      <c r="B12" s="335"/>
      <c r="C12" s="335"/>
      <c r="D12" s="335"/>
      <c r="E12" s="335"/>
      <c r="F12" s="335"/>
      <c r="G12" s="295"/>
    </row>
    <row r="13" spans="1:9" ht="15.75" x14ac:dyDescent="0.25">
      <c r="A13" s="40"/>
    </row>
    <row r="14" spans="1:9" ht="15.75" x14ac:dyDescent="0.25">
      <c r="A14" s="289" t="s">
        <v>44</v>
      </c>
    </row>
    <row r="15" spans="1:9" s="75" customFormat="1" ht="15.75" x14ac:dyDescent="0.25">
      <c r="A15" s="75" t="s">
        <v>238</v>
      </c>
    </row>
    <row r="16" spans="1:9" ht="15.75" x14ac:dyDescent="0.25">
      <c r="A16" s="85" t="s">
        <v>130</v>
      </c>
    </row>
    <row r="17" spans="1:11" ht="78.75" x14ac:dyDescent="0.25">
      <c r="A17" s="297" t="s">
        <v>243</v>
      </c>
      <c r="B17" s="7" t="s">
        <v>265</v>
      </c>
      <c r="C17" s="41" t="s">
        <v>106</v>
      </c>
      <c r="D17" s="5" t="s">
        <v>135</v>
      </c>
      <c r="E17" s="304" t="s">
        <v>240</v>
      </c>
      <c r="F17" s="73" t="s">
        <v>136</v>
      </c>
      <c r="G17" s="73" t="s">
        <v>239</v>
      </c>
      <c r="H17" s="73" t="s">
        <v>229</v>
      </c>
      <c r="I17" s="73" t="s">
        <v>235</v>
      </c>
      <c r="J17" s="73" t="s">
        <v>266</v>
      </c>
      <c r="K17" s="72" t="s">
        <v>123</v>
      </c>
    </row>
    <row r="18" spans="1:11" ht="15.75" x14ac:dyDescent="0.25">
      <c r="A18" s="298">
        <v>0.7</v>
      </c>
      <c r="B18" s="291">
        <f>'IVLP 20v kannattavuus'!D19</f>
        <v>10000</v>
      </c>
      <c r="C18" s="87" t="s">
        <v>45</v>
      </c>
      <c r="D18" s="78">
        <f>'IVLP 20v kannattavuus'!D77</f>
        <v>16928.292184859714</v>
      </c>
      <c r="E18" s="80">
        <f>'IVLP 20v kannattavuus'!D78</f>
        <v>5</v>
      </c>
      <c r="F18" s="307">
        <f>'IVLP 20v kannattavuus'!D80</f>
        <v>0.30116198654868609</v>
      </c>
      <c r="G18" s="74">
        <f>('IVLP 20v kannattavuus'!J105-'IVLP 20v kannattavuus'!D71)</f>
        <v>548.79999999999984</v>
      </c>
      <c r="H18" s="74">
        <f>'IVLP 20v kannattavuus'!D88</f>
        <v>2554.9440000000009</v>
      </c>
      <c r="I18" s="103">
        <f>'IVLP 20v kannattavuus'!D69</f>
        <v>0.70000000000000007</v>
      </c>
      <c r="J18" s="293">
        <f>'IVLP 20v kannattavuus'!D70</f>
        <v>6000</v>
      </c>
      <c r="K18" s="278" t="s">
        <v>260</v>
      </c>
    </row>
    <row r="19" spans="1:11" s="3" customFormat="1" ht="15.75" x14ac:dyDescent="0.25">
      <c r="A19" s="299">
        <v>0.75</v>
      </c>
      <c r="B19" s="323">
        <v>12000</v>
      </c>
      <c r="C19" s="86" t="s">
        <v>45</v>
      </c>
      <c r="D19" s="79">
        <v>16796</v>
      </c>
      <c r="E19" s="81">
        <v>7</v>
      </c>
      <c r="F19" s="308">
        <v>0.183</v>
      </c>
      <c r="G19" s="81">
        <v>588</v>
      </c>
      <c r="H19" s="77">
        <v>2382</v>
      </c>
      <c r="I19" s="102">
        <v>0.75</v>
      </c>
      <c r="J19" s="303">
        <v>8000</v>
      </c>
      <c r="K19" s="86" t="s">
        <v>258</v>
      </c>
    </row>
    <row r="20" spans="1:11" s="88" customFormat="1" ht="15.75" x14ac:dyDescent="0.25">
      <c r="A20" s="89"/>
      <c r="B20" s="90"/>
      <c r="C20" s="91"/>
      <c r="D20" s="92"/>
      <c r="E20" s="93"/>
      <c r="F20" s="94"/>
      <c r="G20" s="95"/>
    </row>
    <row r="21" spans="1:11" s="88" customFormat="1" ht="63" x14ac:dyDescent="0.25">
      <c r="A21" s="309" t="s">
        <v>244</v>
      </c>
      <c r="B21" s="7" t="s">
        <v>265</v>
      </c>
      <c r="C21" s="41" t="s">
        <v>106</v>
      </c>
      <c r="D21" s="5" t="s">
        <v>135</v>
      </c>
      <c r="E21" s="304" t="s">
        <v>240</v>
      </c>
      <c r="F21" s="73" t="s">
        <v>136</v>
      </c>
      <c r="G21" s="73" t="s">
        <v>239</v>
      </c>
      <c r="H21" s="71" t="s">
        <v>122</v>
      </c>
      <c r="I21" s="73" t="s">
        <v>235</v>
      </c>
      <c r="J21" s="73" t="s">
        <v>266</v>
      </c>
      <c r="K21" s="82" t="s">
        <v>123</v>
      </c>
    </row>
    <row r="22" spans="1:11" s="88" customFormat="1" ht="15.75" x14ac:dyDescent="0.25">
      <c r="A22" s="298">
        <v>0.96</v>
      </c>
      <c r="B22" s="292">
        <f>'MLP 25v kannattavuus'!D19</f>
        <v>17000</v>
      </c>
      <c r="C22" s="87" t="s">
        <v>45</v>
      </c>
      <c r="D22" s="78">
        <f>'MLP 25v kannattavuus'!D82</f>
        <v>29026.138477943234</v>
      </c>
      <c r="E22" s="80">
        <f>'MLP 25v kannattavuus'!D83</f>
        <v>8</v>
      </c>
      <c r="F22" s="307">
        <f>'MLP 25v kannattavuus'!D85</f>
        <v>0.12946865421536669</v>
      </c>
      <c r="G22" s="74">
        <f>('MLP 25v kannattavuus'!J110-'MLP 25v kannattavuus'!D76)</f>
        <v>940.80000000000041</v>
      </c>
      <c r="H22" s="74">
        <f>'MLP 25v kannattavuus'!D93</f>
        <v>3616.8192000000004</v>
      </c>
      <c r="I22" s="103">
        <f>'MLP 25v kannattavuus'!D74</f>
        <v>0.95999999999999985</v>
      </c>
      <c r="J22" s="293">
        <f>'MLP 25v kannattavuus'!D75</f>
        <v>13005</v>
      </c>
      <c r="K22" s="278" t="s">
        <v>258</v>
      </c>
    </row>
    <row r="23" spans="1:11" s="104" customFormat="1" ht="15.75" x14ac:dyDescent="0.25">
      <c r="A23" s="299">
        <v>0.98</v>
      </c>
      <c r="B23" s="310">
        <v>20000</v>
      </c>
      <c r="C23" s="86" t="s">
        <v>45</v>
      </c>
      <c r="D23" s="79">
        <v>27690</v>
      </c>
      <c r="E23" s="81">
        <v>9</v>
      </c>
      <c r="F23" s="311">
        <v>0.106</v>
      </c>
      <c r="G23" s="81">
        <v>960</v>
      </c>
      <c r="H23" s="81">
        <v>3330</v>
      </c>
      <c r="I23" s="102">
        <v>0.98</v>
      </c>
      <c r="J23" s="303">
        <v>15300</v>
      </c>
      <c r="K23" s="86" t="s">
        <v>259</v>
      </c>
    </row>
    <row r="24" spans="1:11" ht="15.75" x14ac:dyDescent="0.25"/>
    <row r="25" spans="1:11" ht="63" x14ac:dyDescent="0.25">
      <c r="A25" s="297" t="s">
        <v>236</v>
      </c>
      <c r="B25" s="7" t="s">
        <v>265</v>
      </c>
      <c r="C25" s="5" t="s">
        <v>43</v>
      </c>
      <c r="D25" s="5" t="s">
        <v>135</v>
      </c>
      <c r="E25" s="304" t="s">
        <v>240</v>
      </c>
      <c r="F25" s="73" t="s">
        <v>136</v>
      </c>
      <c r="G25" s="73" t="s">
        <v>239</v>
      </c>
      <c r="H25" s="73" t="s">
        <v>122</v>
      </c>
      <c r="I25" s="73" t="s">
        <v>235</v>
      </c>
      <c r="J25" s="73" t="s">
        <v>266</v>
      </c>
      <c r="K25" s="72" t="s">
        <v>123</v>
      </c>
    </row>
    <row r="26" spans="1:11" ht="31.5" x14ac:dyDescent="0.25">
      <c r="A26" s="300" t="s">
        <v>254</v>
      </c>
      <c r="B26" s="292">
        <f>'PV 30v kannattavuus 3'!F27</f>
        <v>5950</v>
      </c>
      <c r="C26" s="279" t="s">
        <v>226</v>
      </c>
      <c r="D26" s="78">
        <f>'PV 30v kannattavuus 3'!E78</f>
        <v>5662.280668769039</v>
      </c>
      <c r="E26" s="80">
        <f>'PV 30v kannattavuus 3'!E79</f>
        <v>15</v>
      </c>
      <c r="F26" s="312">
        <f>'PV 30v kannattavuus 3'!E80</f>
        <v>5.3149668080025192E-2</v>
      </c>
      <c r="G26" s="74">
        <f>'PV 30v kannattavuus 3'!K114+'PV 30v kannattavuus 3'!L114</f>
        <v>422.72966934654107</v>
      </c>
      <c r="H26" s="74">
        <f>'PV 30v kannattavuus 3'!D91</f>
        <v>243.93600000000001</v>
      </c>
      <c r="I26" s="313">
        <f>'PV 30v kannattavuus 3'!F18</f>
        <v>3.3</v>
      </c>
      <c r="J26" s="293">
        <f>'PV 30v kannattavuus 3'!F31</f>
        <v>5355</v>
      </c>
      <c r="K26" s="278"/>
    </row>
    <row r="27" spans="1:11" ht="31.5" x14ac:dyDescent="0.25">
      <c r="A27" s="301" t="s">
        <v>255</v>
      </c>
      <c r="B27" s="293">
        <f>'PV 30v kannattavuus 5'!F27</f>
        <v>7250</v>
      </c>
      <c r="C27" s="280" t="s">
        <v>226</v>
      </c>
      <c r="D27" s="281">
        <f>'PV 30v kannattavuus 5'!E78</f>
        <v>10134.921003153575</v>
      </c>
      <c r="E27" s="74">
        <f>'PV 30v kannattavuus 5'!E79</f>
        <v>11</v>
      </c>
      <c r="F27" s="312">
        <f>'PV 30v kannattavuus 5'!E80</f>
        <v>7.3284578157885472E-2</v>
      </c>
      <c r="G27" s="74">
        <f>'PV 30v kannattavuus 5'!K114+'PV 30v kannattavuus 5'!L114</f>
        <v>650.32315845981179</v>
      </c>
      <c r="H27" s="74">
        <f>'PV 30v kannattavuus 5'!D91</f>
        <v>365.904</v>
      </c>
      <c r="I27" s="313">
        <f>'PV 30v kannattavuus 5'!F18</f>
        <v>4.95</v>
      </c>
      <c r="J27" s="293">
        <f>'PV 30v kannattavuus 5'!F31</f>
        <v>6525</v>
      </c>
      <c r="K27" s="278"/>
    </row>
    <row r="28" spans="1:11" ht="15.75" x14ac:dyDescent="0.25"/>
    <row r="29" spans="1:11" ht="15.75" x14ac:dyDescent="0.25">
      <c r="A29" s="2" t="s">
        <v>234</v>
      </c>
    </row>
    <row r="30" spans="1:11" ht="15.75" x14ac:dyDescent="0.25">
      <c r="B30" s="76"/>
    </row>
    <row r="31" spans="1:11" s="3" customFormat="1" ht="15.75" x14ac:dyDescent="0.25">
      <c r="B31" s="10" t="s">
        <v>280</v>
      </c>
    </row>
    <row r="32" spans="1:11" ht="15.75" x14ac:dyDescent="0.25">
      <c r="B32" s="76"/>
    </row>
    <row r="33" ht="15.75" x14ac:dyDescent="0.25"/>
    <row r="34" ht="15.75" x14ac:dyDescent="0.25"/>
    <row r="35" ht="15.75" x14ac:dyDescent="0.25"/>
    <row r="36" ht="15.75" x14ac:dyDescent="0.25"/>
    <row r="37" ht="15.75" x14ac:dyDescent="0.25"/>
    <row r="38" ht="15.75" x14ac:dyDescent="0.25"/>
    <row r="39" ht="15.75" x14ac:dyDescent="0.25"/>
    <row r="40" ht="15.75" x14ac:dyDescent="0.25"/>
    <row r="41" ht="15.75" x14ac:dyDescent="0.25"/>
    <row r="42" ht="15.75" x14ac:dyDescent="0.25"/>
    <row r="43" ht="15.75" x14ac:dyDescent="0.25"/>
    <row r="44" ht="15.75" x14ac:dyDescent="0.25"/>
    <row r="45" ht="15.75" x14ac:dyDescent="0.25"/>
    <row r="46" ht="15.75" x14ac:dyDescent="0.25"/>
    <row r="47" ht="15.75" x14ac:dyDescent="0.25"/>
    <row r="48" ht="15.75" x14ac:dyDescent="0.25"/>
    <row r="49" ht="15.75" x14ac:dyDescent="0.25"/>
    <row r="50" ht="15.75" x14ac:dyDescent="0.25"/>
    <row r="51" ht="15.75" x14ac:dyDescent="0.25"/>
    <row r="52" ht="15.75" x14ac:dyDescent="0.25"/>
    <row r="53" ht="15.75" x14ac:dyDescent="0.25"/>
    <row r="54" ht="15.75" x14ac:dyDescent="0.25"/>
    <row r="55" ht="15.75" x14ac:dyDescent="0.25"/>
    <row r="56" ht="15.75" x14ac:dyDescent="0.25"/>
    <row r="57" ht="15.75" x14ac:dyDescent="0.25"/>
    <row r="58" ht="15.75" x14ac:dyDescent="0.25"/>
    <row r="59" ht="15.75" x14ac:dyDescent="0.25"/>
    <row r="60" ht="15.75" x14ac:dyDescent="0.25"/>
    <row r="61" ht="15.75" x14ac:dyDescent="0.25"/>
    <row r="62" ht="15.75" x14ac:dyDescent="0.25"/>
    <row r="63" ht="15.75" x14ac:dyDescent="0.25"/>
    <row r="64" ht="15.75" x14ac:dyDescent="0.25"/>
    <row r="65" ht="15.75" x14ac:dyDescent="0.25"/>
    <row r="66" ht="15.75" x14ac:dyDescent="0.25"/>
    <row r="67" ht="15.75" x14ac:dyDescent="0.25"/>
    <row r="68" ht="15.75" x14ac:dyDescent="0.25"/>
    <row r="69" ht="15.75" x14ac:dyDescent="0.25"/>
    <row r="70" ht="15.75" x14ac:dyDescent="0.25"/>
    <row r="71" ht="15.75" x14ac:dyDescent="0.25"/>
    <row r="72" ht="15.75" x14ac:dyDescent="0.25"/>
    <row r="73" ht="15.75" x14ac:dyDescent="0.25"/>
    <row r="74" ht="15.75" x14ac:dyDescent="0.25"/>
    <row r="75" ht="15.75" x14ac:dyDescent="0.25"/>
    <row r="76" ht="15.75" x14ac:dyDescent="0.25"/>
    <row r="77" ht="15.75" x14ac:dyDescent="0.25"/>
    <row r="78" ht="15.75" x14ac:dyDescent="0.25"/>
    <row r="79" ht="15.75" x14ac:dyDescent="0.25"/>
    <row r="80" ht="15.75" x14ac:dyDescent="0.25"/>
    <row r="81" ht="15.75" x14ac:dyDescent="0.25"/>
    <row r="82" ht="15.75" x14ac:dyDescent="0.25"/>
    <row r="83" ht="15.75" x14ac:dyDescent="0.25"/>
    <row r="84" ht="15.75"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sheetData>
  <mergeCells count="8">
    <mergeCell ref="A10:F10"/>
    <mergeCell ref="A12:F12"/>
    <mergeCell ref="A5:F5"/>
    <mergeCell ref="A1:G1"/>
    <mergeCell ref="A3:G3"/>
    <mergeCell ref="A4:G4"/>
    <mergeCell ref="A7:G7"/>
    <mergeCell ref="A11:G11"/>
  </mergeCells>
  <hyperlinks>
    <hyperlink ref="C8" r:id="rId1" xr:uid="{9328B8A4-0B26-491E-8E19-FA293871AED5}"/>
    <hyperlink ref="C6" r:id="rId2" xr:uid="{8A5D2600-9F64-4B63-8415-305107992E40}"/>
    <hyperlink ref="B31" r:id="rId3" display="https://kestavyysloikka.ymparisto.fi/maalampo-laski-ison-paritaloasunnon-energiakuluja-lahes-3-000-euroa-vuodessa/" xr:uid="{238BCC7F-21E3-460E-9E61-D1D7988CD5D8}"/>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1CA0-A239-4258-8280-741A3BEE6F8A}">
  <sheetPr>
    <tabColor rgb="FFFFC000"/>
  </sheetPr>
  <dimension ref="A1:V108"/>
  <sheetViews>
    <sheetView zoomScale="80" zoomScaleNormal="80" workbookViewId="0">
      <selection activeCell="A3" sqref="A3"/>
    </sheetView>
  </sheetViews>
  <sheetFormatPr defaultColWidth="8.7109375" defaultRowHeight="15" x14ac:dyDescent="0.25"/>
  <cols>
    <col min="1" max="1" width="52" style="100" customWidth="1"/>
    <col min="2" max="3" width="10.42578125" style="100" customWidth="1"/>
    <col min="4" max="4" width="11.5703125" style="100" customWidth="1"/>
    <col min="5" max="5" width="10.140625" style="100" bestFit="1" customWidth="1"/>
    <col min="6" max="6" width="11.140625" style="100" customWidth="1"/>
    <col min="7" max="7" width="8.7109375" style="100"/>
    <col min="8" max="8" width="13.5703125" style="100" bestFit="1" customWidth="1"/>
    <col min="9" max="9" width="11.28515625" style="100" bestFit="1" customWidth="1"/>
    <col min="10" max="10" width="11.85546875" style="100" bestFit="1" customWidth="1"/>
    <col min="11" max="11" width="11.140625" style="100" customWidth="1"/>
    <col min="12" max="12" width="10.28515625" style="100" bestFit="1" customWidth="1"/>
    <col min="13" max="13" width="10.140625" style="100" bestFit="1" customWidth="1"/>
    <col min="14" max="14" width="9.5703125" style="100" customWidth="1"/>
    <col min="15" max="17" width="8.7109375" style="100"/>
    <col min="18" max="18" width="10.85546875" style="100" customWidth="1"/>
    <col min="19" max="19" width="9.5703125" style="100" customWidth="1"/>
    <col min="20" max="20" width="8.7109375" style="100"/>
    <col min="21" max="22" width="9.5703125" style="100" customWidth="1"/>
    <col min="23" max="16384" width="8.7109375" style="100"/>
  </cols>
  <sheetData>
    <row r="1" spans="1:12" x14ac:dyDescent="0.25">
      <c r="A1" s="340" t="s">
        <v>262</v>
      </c>
      <c r="B1" s="340"/>
      <c r="C1" s="340"/>
      <c r="D1" s="340"/>
      <c r="E1" s="340"/>
      <c r="F1" s="340"/>
      <c r="G1" s="340"/>
      <c r="H1" s="340"/>
      <c r="I1" s="340"/>
      <c r="J1" s="340"/>
      <c r="K1" s="340"/>
      <c r="L1" s="340"/>
    </row>
    <row r="2" spans="1:12" x14ac:dyDescent="0.25">
      <c r="A2" s="145" t="s">
        <v>153</v>
      </c>
    </row>
    <row r="3" spans="1:12" ht="15.75" x14ac:dyDescent="0.25">
      <c r="A3" s="252" t="s">
        <v>279</v>
      </c>
    </row>
    <row r="5" spans="1:12" x14ac:dyDescent="0.25">
      <c r="A5" s="8" t="s">
        <v>46</v>
      </c>
    </row>
    <row r="6" spans="1:12" x14ac:dyDescent="0.25">
      <c r="A6" s="9" t="s">
        <v>1</v>
      </c>
    </row>
    <row r="7" spans="1:12" x14ac:dyDescent="0.25">
      <c r="A7" s="9"/>
    </row>
    <row r="8" spans="1:12" x14ac:dyDescent="0.25">
      <c r="A8" s="48" t="s">
        <v>111</v>
      </c>
    </row>
    <row r="9" spans="1:12" ht="15.75" x14ac:dyDescent="0.25">
      <c r="A9" s="341" t="s">
        <v>267</v>
      </c>
      <c r="B9" s="338"/>
      <c r="C9" s="339"/>
      <c r="D9" s="107">
        <v>105</v>
      </c>
      <c r="E9" s="100" t="s">
        <v>47</v>
      </c>
      <c r="G9" s="100" t="s">
        <v>4</v>
      </c>
    </row>
    <row r="10" spans="1:12" ht="15.75" x14ac:dyDescent="0.25">
      <c r="A10" s="341" t="s">
        <v>113</v>
      </c>
      <c r="B10" s="338"/>
      <c r="C10" s="339"/>
      <c r="D10" s="305">
        <v>0.01</v>
      </c>
      <c r="G10" s="100" t="s">
        <v>6</v>
      </c>
      <c r="I10" s="10" t="s">
        <v>9</v>
      </c>
    </row>
    <row r="11" spans="1:12" ht="15.75" x14ac:dyDescent="0.25">
      <c r="A11" s="342" t="s">
        <v>110</v>
      </c>
      <c r="B11" s="343"/>
      <c r="C11" s="344"/>
      <c r="D11" s="106">
        <f>(2000)*10</f>
        <v>20000</v>
      </c>
      <c r="E11" s="100" t="s">
        <v>10</v>
      </c>
      <c r="G11" s="100" t="s">
        <v>4</v>
      </c>
    </row>
    <row r="12" spans="1:12" ht="15.75" x14ac:dyDescent="0.25">
      <c r="A12" s="342" t="s">
        <v>137</v>
      </c>
      <c r="B12" s="343"/>
      <c r="C12" s="344"/>
      <c r="D12" s="105">
        <v>0.8</v>
      </c>
    </row>
    <row r="13" spans="1:12" ht="15.75" x14ac:dyDescent="0.25">
      <c r="A13" s="342" t="s">
        <v>138</v>
      </c>
      <c r="B13" s="343"/>
      <c r="C13" s="344"/>
      <c r="D13" s="106">
        <f>(D11*D12)</f>
        <v>16000</v>
      </c>
      <c r="E13" s="100" t="s">
        <v>10</v>
      </c>
    </row>
    <row r="14" spans="1:12" ht="15.75" x14ac:dyDescent="0.25">
      <c r="A14" s="346" t="s">
        <v>139</v>
      </c>
      <c r="B14" s="346"/>
      <c r="C14" s="346"/>
      <c r="D14" s="106" t="s">
        <v>4</v>
      </c>
      <c r="E14" s="100" t="s">
        <v>4</v>
      </c>
    </row>
    <row r="15" spans="1:12" x14ac:dyDescent="0.25">
      <c r="A15" s="46"/>
      <c r="B15" s="46"/>
      <c r="C15" s="46"/>
      <c r="D15" s="47"/>
    </row>
    <row r="16" spans="1:12" x14ac:dyDescent="0.25">
      <c r="A16" s="46"/>
      <c r="B16" s="46"/>
      <c r="C16" s="46"/>
      <c r="D16" s="47"/>
    </row>
    <row r="17" spans="1:18" x14ac:dyDescent="0.25">
      <c r="A17" s="49" t="s">
        <v>112</v>
      </c>
      <c r="B17" s="46"/>
      <c r="C17" s="46"/>
      <c r="D17" s="47"/>
    </row>
    <row r="18" spans="1:18" ht="15.75" x14ac:dyDescent="0.25">
      <c r="A18" s="345" t="s">
        <v>114</v>
      </c>
      <c r="B18" s="338"/>
      <c r="C18" s="339"/>
      <c r="D18" s="11">
        <v>2.5</v>
      </c>
    </row>
    <row r="19" spans="1:18" ht="15.75" x14ac:dyDescent="0.25">
      <c r="A19" s="337" t="s">
        <v>268</v>
      </c>
      <c r="B19" s="338"/>
      <c r="C19" s="339"/>
      <c r="D19" s="39">
        <f>(8000+12000)/2</f>
        <v>10000</v>
      </c>
      <c r="G19" s="100" t="s">
        <v>4</v>
      </c>
      <c r="I19" s="10" t="s">
        <v>4</v>
      </c>
    </row>
    <row r="20" spans="1:18" ht="15.75" x14ac:dyDescent="0.25">
      <c r="A20" s="345" t="s">
        <v>48</v>
      </c>
      <c r="B20" s="338"/>
      <c r="C20" s="339"/>
      <c r="D20" s="97">
        <v>0.4</v>
      </c>
      <c r="G20" s="100" t="s">
        <v>6</v>
      </c>
      <c r="H20" s="10" t="s">
        <v>18</v>
      </c>
      <c r="I20" s="10" t="s">
        <v>19</v>
      </c>
      <c r="K20" s="10" t="s">
        <v>20</v>
      </c>
      <c r="L20" s="10" t="s">
        <v>249</v>
      </c>
      <c r="R20" s="100" t="s">
        <v>277</v>
      </c>
    </row>
    <row r="21" spans="1:18" ht="15.75" x14ac:dyDescent="0.25">
      <c r="A21" s="348" t="s">
        <v>49</v>
      </c>
      <c r="B21" s="338"/>
      <c r="C21" s="339"/>
      <c r="D21" s="59">
        <v>0</v>
      </c>
      <c r="G21" s="100" t="s">
        <v>4</v>
      </c>
      <c r="I21" s="10" t="s">
        <v>4</v>
      </c>
      <c r="K21" s="10" t="s">
        <v>4</v>
      </c>
      <c r="N21" s="10" t="s">
        <v>4</v>
      </c>
    </row>
    <row r="22" spans="1:18" ht="15.75" x14ac:dyDescent="0.25">
      <c r="A22" s="349" t="s">
        <v>118</v>
      </c>
      <c r="B22" s="350"/>
      <c r="C22" s="350"/>
      <c r="D22" s="52">
        <v>0</v>
      </c>
    </row>
    <row r="23" spans="1:18" ht="15.75" x14ac:dyDescent="0.25">
      <c r="A23" s="351" t="s">
        <v>119</v>
      </c>
      <c r="B23" s="352"/>
      <c r="C23" s="353"/>
      <c r="D23" s="60">
        <v>1</v>
      </c>
      <c r="H23" s="100" t="s">
        <v>4</v>
      </c>
    </row>
    <row r="24" spans="1:18" ht="15.75" x14ac:dyDescent="0.25">
      <c r="A24" s="354" t="s">
        <v>269</v>
      </c>
      <c r="B24" s="355"/>
      <c r="C24" s="356"/>
      <c r="D24" s="61">
        <v>0</v>
      </c>
      <c r="E24" s="4" t="s">
        <v>47</v>
      </c>
      <c r="G24" s="100" t="s">
        <v>4</v>
      </c>
    </row>
    <row r="25" spans="1:18" ht="15.6" customHeight="1" x14ac:dyDescent="0.25">
      <c r="A25" s="357" t="s">
        <v>270</v>
      </c>
      <c r="B25" s="350"/>
      <c r="C25" s="358"/>
      <c r="D25" s="306">
        <v>150</v>
      </c>
      <c r="E25" s="101" t="s">
        <v>4</v>
      </c>
      <c r="G25" s="100" t="s">
        <v>4</v>
      </c>
    </row>
    <row r="26" spans="1:18" ht="15.75" x14ac:dyDescent="0.25">
      <c r="A26" s="359" t="s">
        <v>131</v>
      </c>
      <c r="B26" s="360"/>
      <c r="C26" s="361"/>
      <c r="D26" s="58">
        <f>(D13*0.7)</f>
        <v>11200</v>
      </c>
      <c r="E26" s="100" t="s">
        <v>27</v>
      </c>
      <c r="F26" s="100" t="s">
        <v>4</v>
      </c>
      <c r="G26" s="100" t="s">
        <v>256</v>
      </c>
      <c r="L26" s="100" t="s">
        <v>4</v>
      </c>
    </row>
    <row r="27" spans="1:18" ht="15.6" customHeight="1" x14ac:dyDescent="0.25">
      <c r="A27" s="362" t="s">
        <v>83</v>
      </c>
      <c r="B27" s="350"/>
      <c r="C27" s="358"/>
      <c r="D27" s="62">
        <v>0</v>
      </c>
      <c r="G27" s="100" t="s">
        <v>4</v>
      </c>
    </row>
    <row r="28" spans="1:18" ht="15.75" x14ac:dyDescent="0.25">
      <c r="A28" s="363" t="s">
        <v>271</v>
      </c>
      <c r="B28" s="363"/>
      <c r="C28" s="363"/>
      <c r="D28" s="314">
        <f>(14)</f>
        <v>14</v>
      </c>
      <c r="E28" s="100" t="s">
        <v>3</v>
      </c>
    </row>
    <row r="29" spans="1:18" ht="15.75" x14ac:dyDescent="0.25">
      <c r="A29" s="347" t="s">
        <v>115</v>
      </c>
      <c r="B29" s="347"/>
      <c r="C29" s="347"/>
      <c r="D29" s="315">
        <v>5000</v>
      </c>
      <c r="E29" s="100" t="s">
        <v>4</v>
      </c>
    </row>
    <row r="30" spans="1:18" ht="15.75" x14ac:dyDescent="0.25">
      <c r="A30" s="347" t="s">
        <v>116</v>
      </c>
      <c r="B30" s="347"/>
      <c r="C30" s="347"/>
      <c r="D30" s="54">
        <v>5</v>
      </c>
      <c r="E30" s="100" t="s">
        <v>85</v>
      </c>
    </row>
    <row r="31" spans="1:18" ht="15.75" x14ac:dyDescent="0.25">
      <c r="A31" s="347" t="s">
        <v>117</v>
      </c>
      <c r="B31" s="347"/>
      <c r="C31" s="347"/>
      <c r="D31" s="53">
        <v>1.4999999999999999E-2</v>
      </c>
    </row>
    <row r="32" spans="1:18" ht="15.75" x14ac:dyDescent="0.25">
      <c r="A32" s="50"/>
      <c r="B32" s="44"/>
      <c r="C32" s="44"/>
      <c r="D32" s="51"/>
    </row>
    <row r="33" spans="1:22" ht="15.75" x14ac:dyDescent="0.25">
      <c r="A33" s="50"/>
      <c r="B33" s="44"/>
      <c r="C33" s="44"/>
      <c r="D33" s="51"/>
    </row>
    <row r="34" spans="1:22" ht="15.75" x14ac:dyDescent="0.25">
      <c r="A34" s="50"/>
      <c r="B34" s="44"/>
      <c r="C34" s="44"/>
      <c r="D34" s="51"/>
    </row>
    <row r="35" spans="1:22" ht="15.75" x14ac:dyDescent="0.25">
      <c r="A35" s="50"/>
      <c r="B35" s="44"/>
      <c r="C35" s="44"/>
      <c r="D35" s="51"/>
    </row>
    <row r="36" spans="1:22" ht="15.75" x14ac:dyDescent="0.25">
      <c r="A36" s="25" t="s">
        <v>99</v>
      </c>
      <c r="B36" s="12"/>
      <c r="C36" s="12"/>
      <c r="D36" s="12"/>
    </row>
    <row r="37" spans="1:22" ht="141.75" x14ac:dyDescent="0.25">
      <c r="A37" s="109" t="s">
        <v>141</v>
      </c>
      <c r="B37" s="110" t="s">
        <v>142</v>
      </c>
      <c r="C37" s="110" t="s">
        <v>143</v>
      </c>
      <c r="D37" s="110" t="s">
        <v>144</v>
      </c>
      <c r="E37" s="111" t="s">
        <v>116</v>
      </c>
      <c r="F37" s="111" t="s">
        <v>145</v>
      </c>
      <c r="G37" s="111" t="s">
        <v>146</v>
      </c>
      <c r="H37" s="111" t="s">
        <v>147</v>
      </c>
      <c r="I37" s="111" t="s">
        <v>148</v>
      </c>
      <c r="J37" s="111" t="s">
        <v>149</v>
      </c>
      <c r="K37" s="111" t="s">
        <v>150</v>
      </c>
      <c r="L37" s="112" t="s">
        <v>31</v>
      </c>
      <c r="M37" s="113" t="s">
        <v>32</v>
      </c>
      <c r="N37" s="113" t="s">
        <v>33</v>
      </c>
      <c r="O37" s="112" t="s">
        <v>101</v>
      </c>
      <c r="P37" s="109" t="s">
        <v>102</v>
      </c>
      <c r="Q37" s="109" t="s">
        <v>103</v>
      </c>
      <c r="R37" s="109" t="s">
        <v>104</v>
      </c>
      <c r="S37" s="114" t="s">
        <v>100</v>
      </c>
      <c r="T37" s="115" t="s">
        <v>30</v>
      </c>
      <c r="U37" s="116" t="s">
        <v>151</v>
      </c>
      <c r="V37" s="116" t="s">
        <v>105</v>
      </c>
    </row>
    <row r="38" spans="1:22" ht="15.75" x14ac:dyDescent="0.25">
      <c r="A38" s="24">
        <v>0</v>
      </c>
      <c r="B38" s="33">
        <f>D9</f>
        <v>105</v>
      </c>
      <c r="C38" s="24">
        <v>0</v>
      </c>
      <c r="D38" s="33">
        <f>(D13/1000*B38)+C38</f>
        <v>1680</v>
      </c>
      <c r="E38" s="117">
        <f>(0)</f>
        <v>0</v>
      </c>
      <c r="F38" s="118">
        <f>IF((D30&gt;0),0,$D$70)</f>
        <v>0</v>
      </c>
      <c r="G38" s="318">
        <f>(0)</f>
        <v>0</v>
      </c>
      <c r="H38" s="318">
        <f>IF(D29&gt;0,(D29),"")</f>
        <v>5000</v>
      </c>
      <c r="I38" s="318">
        <f>IF(OR(H38="",H38=0),0,D70-D29)</f>
        <v>1000</v>
      </c>
      <c r="J38" s="120">
        <v>0</v>
      </c>
      <c r="K38" s="121">
        <f>IFERROR(F38+G38+I38+J38,J38)</f>
        <v>1000</v>
      </c>
      <c r="L38" s="32">
        <f>S38-K38</f>
        <v>-1000</v>
      </c>
      <c r="M38" s="21">
        <f>L38</f>
        <v>-1000</v>
      </c>
      <c r="N38" s="122" t="s">
        <v>4</v>
      </c>
      <c r="O38" s="24">
        <f t="shared" ref="O38:O58" si="0">IF(N38&lt;0,1,0)</f>
        <v>0</v>
      </c>
      <c r="P38" s="33">
        <f>D9</f>
        <v>105</v>
      </c>
      <c r="Q38" s="33">
        <f>D24</f>
        <v>0</v>
      </c>
      <c r="R38" s="43">
        <f>IF(D24&gt;0,G105,I105)</f>
        <v>11200.000000000002</v>
      </c>
      <c r="S38" s="21">
        <v>0</v>
      </c>
      <c r="T38" s="64">
        <v>0</v>
      </c>
      <c r="U38" s="66">
        <f>D38</f>
        <v>1680</v>
      </c>
      <c r="V38" s="66">
        <f>(K38)</f>
        <v>1000</v>
      </c>
    </row>
    <row r="39" spans="1:22" ht="15.75" x14ac:dyDescent="0.25">
      <c r="A39" s="24">
        <v>1</v>
      </c>
      <c r="B39" s="33">
        <f>(1+D10)*B38</f>
        <v>106.05</v>
      </c>
      <c r="C39" s="24">
        <v>0</v>
      </c>
      <c r="D39" s="33">
        <f>(D13/1000*B39)+C39</f>
        <v>1696.8</v>
      </c>
      <c r="E39" s="117">
        <f>IF(OR(H38="",H38=0),"",E38+1)</f>
        <v>1</v>
      </c>
      <c r="F39" s="118">
        <f>IF(E39="","",$D$29/$D$30)</f>
        <v>1000</v>
      </c>
      <c r="G39" s="318">
        <f>IF(E39="","",(H38*$D$31))</f>
        <v>75</v>
      </c>
      <c r="H39" s="318">
        <f>IFERROR(ROUND(IF(E39="","",($H$38-SUM($F$38:F39))),2),"")</f>
        <v>4000</v>
      </c>
      <c r="I39" s="119"/>
      <c r="J39" s="120">
        <f>D25</f>
        <v>150</v>
      </c>
      <c r="K39" s="121">
        <f>IFERROR(F39+G39+I39+J39,J39)</f>
        <v>1225</v>
      </c>
      <c r="L39" s="32">
        <f>S39-K39</f>
        <v>-37.239999999999782</v>
      </c>
      <c r="M39" s="21">
        <f t="shared" ref="M39:M56" si="1">M38+$L39</f>
        <v>-1037.2399999999998</v>
      </c>
      <c r="N39" s="21">
        <f>NPV(D22,L38:L39)</f>
        <v>-1037.2399999999998</v>
      </c>
      <c r="O39" s="24">
        <f t="shared" si="0"/>
        <v>1</v>
      </c>
      <c r="P39" s="33">
        <f t="shared" ref="P39:Q54" si="2">(1+$D$10)*P38</f>
        <v>106.05</v>
      </c>
      <c r="Q39" s="33">
        <f t="shared" si="2"/>
        <v>0</v>
      </c>
      <c r="R39" s="43">
        <f>R38*(1+$D$27)</f>
        <v>11200.000000000002</v>
      </c>
      <c r="S39" s="21">
        <f>R39*D23*P39/1000+R39*(1-D23)*D24/1000</f>
        <v>1187.7600000000002</v>
      </c>
      <c r="T39" s="64">
        <v>1</v>
      </c>
      <c r="U39" s="66">
        <f t="shared" ref="U39:U58" si="3">(U38+D39)</f>
        <v>3376.8</v>
      </c>
      <c r="V39" s="66">
        <f>(V38+(D71+D72))</f>
        <v>2299.1999999999998</v>
      </c>
    </row>
    <row r="40" spans="1:22" ht="15.75" x14ac:dyDescent="0.25">
      <c r="A40" s="24">
        <v>2</v>
      </c>
      <c r="B40" s="33">
        <f>(1+D10)*B39</f>
        <v>107.1105</v>
      </c>
      <c r="C40" s="24">
        <v>0</v>
      </c>
      <c r="D40" s="33">
        <f>(D13/1000*B40)+C40</f>
        <v>1713.768</v>
      </c>
      <c r="E40" s="117">
        <f>IF(OR(H39="",H39=0),"",E39+1)</f>
        <v>2</v>
      </c>
      <c r="F40" s="118">
        <f t="shared" ref="F40:F58" si="4">IF(E40="","",$D$29/$D$30)</f>
        <v>1000</v>
      </c>
      <c r="G40" s="318">
        <f t="shared" ref="G40:G58" si="5">IF(E40="","",(H39*$D$31))</f>
        <v>60</v>
      </c>
      <c r="H40" s="318">
        <f>IFERROR(ROUND(IF(E40="","",($H$38-SUM($F$38:F40))),2),"")</f>
        <v>3000</v>
      </c>
      <c r="I40" s="119"/>
      <c r="J40" s="120">
        <f>D25</f>
        <v>150</v>
      </c>
      <c r="K40" s="121">
        <f t="shared" ref="K40:K58" si="6">IFERROR(F40+G40+I40+J40,J40)</f>
        <v>1210</v>
      </c>
      <c r="L40" s="32">
        <f t="shared" ref="L40:L58" si="7">S40-K40</f>
        <v>-10.362399999999752</v>
      </c>
      <c r="M40" s="21">
        <f t="shared" si="1"/>
        <v>-1047.6023999999995</v>
      </c>
      <c r="N40" s="21">
        <f>NPV(D22,L38:L40)</f>
        <v>-1047.6023999999995</v>
      </c>
      <c r="O40" s="24">
        <f t="shared" si="0"/>
        <v>1</v>
      </c>
      <c r="P40" s="33">
        <f t="shared" si="2"/>
        <v>107.1105</v>
      </c>
      <c r="Q40" s="33">
        <f t="shared" si="2"/>
        <v>0</v>
      </c>
      <c r="R40" s="43">
        <f t="shared" ref="R40:R58" si="8">R39*(1+$D$27)</f>
        <v>11200.000000000002</v>
      </c>
      <c r="S40" s="21">
        <f>R40*D23*P40/1000+R40*(1-D23)*D24/1000</f>
        <v>1199.6376000000002</v>
      </c>
      <c r="T40" s="64">
        <v>2</v>
      </c>
      <c r="U40" s="66">
        <f t="shared" si="3"/>
        <v>5090.5680000000002</v>
      </c>
      <c r="V40" s="66">
        <f>(V39+(D71+D72))</f>
        <v>3598.3999999999996</v>
      </c>
    </row>
    <row r="41" spans="1:22" ht="15.75" x14ac:dyDescent="0.25">
      <c r="A41" s="24">
        <v>3</v>
      </c>
      <c r="B41" s="33">
        <f>(1+D10)*B40</f>
        <v>108.181605</v>
      </c>
      <c r="C41" s="24">
        <v>0</v>
      </c>
      <c r="D41" s="33">
        <f>(D13/1000*B41)+C41</f>
        <v>1730.9056800000001</v>
      </c>
      <c r="E41" s="117">
        <f t="shared" ref="E41:E58" si="9">IF(OR(H40="",H40=0),"",E40+1)</f>
        <v>3</v>
      </c>
      <c r="F41" s="118">
        <f t="shared" si="4"/>
        <v>1000</v>
      </c>
      <c r="G41" s="318">
        <f t="shared" si="5"/>
        <v>45</v>
      </c>
      <c r="H41" s="318">
        <f>IFERROR(ROUND(IF(E41="","",($H$38-SUM($F$38:F41))),2),"")</f>
        <v>2000</v>
      </c>
      <c r="I41" s="119"/>
      <c r="J41" s="120">
        <f>D25</f>
        <v>150</v>
      </c>
      <c r="K41" s="121">
        <f t="shared" si="6"/>
        <v>1195</v>
      </c>
      <c r="L41" s="32">
        <f t="shared" si="7"/>
        <v>16.633976000000303</v>
      </c>
      <c r="M41" s="21">
        <f t="shared" si="1"/>
        <v>-1030.9684239999992</v>
      </c>
      <c r="N41" s="21">
        <f>NPV(D22,L38:L41)</f>
        <v>-1030.9684239999992</v>
      </c>
      <c r="O41" s="24">
        <f t="shared" si="0"/>
        <v>1</v>
      </c>
      <c r="P41" s="33">
        <f t="shared" si="2"/>
        <v>108.181605</v>
      </c>
      <c r="Q41" s="33">
        <f t="shared" si="2"/>
        <v>0</v>
      </c>
      <c r="R41" s="43">
        <f t="shared" si="8"/>
        <v>11200.000000000002</v>
      </c>
      <c r="S41" s="21">
        <f>R41*D23*P41/1000+R41*(1-D23)*D24/1000</f>
        <v>1211.6339760000003</v>
      </c>
      <c r="T41" s="64">
        <v>3</v>
      </c>
      <c r="U41" s="66">
        <f t="shared" si="3"/>
        <v>6821.4736800000001</v>
      </c>
      <c r="V41" s="66">
        <f>(V40+(D71+D72))</f>
        <v>4897.5999999999995</v>
      </c>
    </row>
    <row r="42" spans="1:22" ht="15.75" x14ac:dyDescent="0.25">
      <c r="A42" s="24">
        <v>4</v>
      </c>
      <c r="B42" s="33">
        <f>(1+D10)*B41</f>
        <v>109.26342105000001</v>
      </c>
      <c r="C42" s="24">
        <v>0</v>
      </c>
      <c r="D42" s="33">
        <f>(D13/1000*B42)+C42</f>
        <v>1748.2147368000001</v>
      </c>
      <c r="E42" s="117">
        <f t="shared" si="9"/>
        <v>4</v>
      </c>
      <c r="F42" s="118">
        <f t="shared" si="4"/>
        <v>1000</v>
      </c>
      <c r="G42" s="318">
        <f t="shared" si="5"/>
        <v>30</v>
      </c>
      <c r="H42" s="318">
        <f>IFERROR(ROUND(IF(E42="","",($H$38-SUM($F$38:F42))),2),"")</f>
        <v>1000</v>
      </c>
      <c r="I42" s="119"/>
      <c r="J42" s="120">
        <f>D25</f>
        <v>150</v>
      </c>
      <c r="K42" s="121">
        <f t="shared" si="6"/>
        <v>1180</v>
      </c>
      <c r="L42" s="32">
        <f t="shared" si="7"/>
        <v>43.750315760000149</v>
      </c>
      <c r="M42" s="69">
        <f t="shared" si="1"/>
        <v>-987.21810823999908</v>
      </c>
      <c r="N42" s="21">
        <f>NPV(D22,L38:L42)</f>
        <v>-987.21810823999908</v>
      </c>
      <c r="O42" s="24">
        <f t="shared" si="0"/>
        <v>1</v>
      </c>
      <c r="P42" s="33">
        <f t="shared" si="2"/>
        <v>109.26342105000001</v>
      </c>
      <c r="Q42" s="33">
        <f t="shared" si="2"/>
        <v>0</v>
      </c>
      <c r="R42" s="43">
        <f t="shared" si="8"/>
        <v>11200.000000000002</v>
      </c>
      <c r="S42" s="21">
        <f>R42*D23*P42/1000+R42*(1-D23)*D24/1000</f>
        <v>1223.7503157600001</v>
      </c>
      <c r="T42" s="64">
        <v>4</v>
      </c>
      <c r="U42" s="66">
        <f t="shared" si="3"/>
        <v>8569.6884167999997</v>
      </c>
      <c r="V42" s="66">
        <f>(V41+(D71+D72))</f>
        <v>6196.7999999999993</v>
      </c>
    </row>
    <row r="43" spans="1:22" ht="15.75" x14ac:dyDescent="0.25">
      <c r="A43" s="24">
        <v>5</v>
      </c>
      <c r="B43" s="33">
        <f>(1+D10)*B42</f>
        <v>110.3560552605</v>
      </c>
      <c r="C43" s="24">
        <v>0</v>
      </c>
      <c r="D43" s="33">
        <f>(D13/1000*B43)+C43</f>
        <v>1765.696884168</v>
      </c>
      <c r="E43" s="117">
        <f t="shared" si="9"/>
        <v>5</v>
      </c>
      <c r="F43" s="118">
        <f t="shared" si="4"/>
        <v>1000</v>
      </c>
      <c r="G43" s="318">
        <f t="shared" si="5"/>
        <v>15</v>
      </c>
      <c r="H43" s="318">
        <f>IFERROR(ROUND(IF(E43="","",($H$38-SUM($F$38:F43))),2),"")</f>
        <v>0</v>
      </c>
      <c r="I43" s="119"/>
      <c r="J43" s="120">
        <f>D25</f>
        <v>150</v>
      </c>
      <c r="K43" s="121">
        <f t="shared" si="6"/>
        <v>1165</v>
      </c>
      <c r="L43" s="32">
        <f t="shared" si="7"/>
        <v>70.98781891760018</v>
      </c>
      <c r="M43" s="70">
        <f t="shared" si="1"/>
        <v>-916.2302893223989</v>
      </c>
      <c r="N43" s="21">
        <f>NPV(D22,L38:L43)</f>
        <v>-916.2302893223989</v>
      </c>
      <c r="O43" s="24">
        <f t="shared" si="0"/>
        <v>1</v>
      </c>
      <c r="P43" s="33">
        <f t="shared" si="2"/>
        <v>110.3560552605</v>
      </c>
      <c r="Q43" s="33">
        <f t="shared" si="2"/>
        <v>0</v>
      </c>
      <c r="R43" s="43">
        <f t="shared" si="8"/>
        <v>11200.000000000002</v>
      </c>
      <c r="S43" s="21">
        <f>R43*D23*P43/1000+R43*(1-D23)*D24/1000</f>
        <v>1235.9878189176002</v>
      </c>
      <c r="T43" s="64">
        <v>5</v>
      </c>
      <c r="U43" s="66">
        <f t="shared" si="3"/>
        <v>10335.385300967999</v>
      </c>
      <c r="V43" s="66">
        <f>(V42+(D71+D72))</f>
        <v>7495.9999999999991</v>
      </c>
    </row>
    <row r="44" spans="1:22" ht="15.75" x14ac:dyDescent="0.25">
      <c r="A44" s="24">
        <v>6</v>
      </c>
      <c r="B44" s="33">
        <f>(1+D10)*B43</f>
        <v>111.459615813105</v>
      </c>
      <c r="C44" s="24">
        <v>0</v>
      </c>
      <c r="D44" s="33">
        <f>(D13/1000*B44)+C44</f>
        <v>1783.3538530096801</v>
      </c>
      <c r="E44" s="117" t="str">
        <f t="shared" si="9"/>
        <v/>
      </c>
      <c r="F44" s="118" t="str">
        <f t="shared" si="4"/>
        <v/>
      </c>
      <c r="G44" s="318" t="str">
        <f t="shared" si="5"/>
        <v/>
      </c>
      <c r="H44" s="318" t="str">
        <f>IFERROR(ROUND(IF(E44="","",($H$38-SUM($F$38:F44))),2),"")</f>
        <v/>
      </c>
      <c r="I44" s="119"/>
      <c r="J44" s="120">
        <f>D25</f>
        <v>150</v>
      </c>
      <c r="K44" s="121">
        <f t="shared" si="6"/>
        <v>150</v>
      </c>
      <c r="L44" s="68">
        <f t="shared" si="7"/>
        <v>1098.3476971067762</v>
      </c>
      <c r="M44" s="70">
        <f t="shared" si="1"/>
        <v>182.11740778437729</v>
      </c>
      <c r="N44" s="123">
        <f>NPV(D22,L38:L44)</f>
        <v>182.11740778437729</v>
      </c>
      <c r="O44" s="67">
        <f t="shared" si="0"/>
        <v>0</v>
      </c>
      <c r="P44" s="33">
        <f t="shared" si="2"/>
        <v>111.459615813105</v>
      </c>
      <c r="Q44" s="33">
        <f t="shared" si="2"/>
        <v>0</v>
      </c>
      <c r="R44" s="43">
        <f t="shared" si="8"/>
        <v>11200.000000000002</v>
      </c>
      <c r="S44" s="21">
        <f>R44*D23*P44/1000+R44*(1-D23)*D24/1000</f>
        <v>1248.3476971067762</v>
      </c>
      <c r="T44" s="64">
        <v>6</v>
      </c>
      <c r="U44" s="66">
        <f t="shared" si="3"/>
        <v>12118.739153977678</v>
      </c>
      <c r="V44" s="66">
        <f>(V43+(D71+D72))</f>
        <v>8795.1999999999989</v>
      </c>
    </row>
    <row r="45" spans="1:22" ht="15.75" x14ac:dyDescent="0.25">
      <c r="A45" s="24">
        <v>7</v>
      </c>
      <c r="B45" s="33">
        <f>(1+D10)*B44</f>
        <v>112.57421197123605</v>
      </c>
      <c r="C45" s="24">
        <v>0</v>
      </c>
      <c r="D45" s="33">
        <f>(D13/1000*B45)+C45</f>
        <v>1801.1873915397769</v>
      </c>
      <c r="E45" s="117" t="str">
        <f t="shared" si="9"/>
        <v/>
      </c>
      <c r="F45" s="118" t="str">
        <f t="shared" si="4"/>
        <v/>
      </c>
      <c r="G45" s="318" t="str">
        <f t="shared" si="5"/>
        <v/>
      </c>
      <c r="H45" s="318" t="str">
        <f>IFERROR(ROUND(IF(E45="","",($H$38-SUM($F$38:F45))),2),"")</f>
        <v/>
      </c>
      <c r="I45" s="119"/>
      <c r="J45" s="120">
        <f>D25</f>
        <v>150</v>
      </c>
      <c r="K45" s="121">
        <f t="shared" si="6"/>
        <v>150</v>
      </c>
      <c r="L45" s="68">
        <f t="shared" si="7"/>
        <v>1110.831174077844</v>
      </c>
      <c r="M45" s="70">
        <f t="shared" si="1"/>
        <v>1292.9485818622213</v>
      </c>
      <c r="N45" s="70">
        <f>NPV(D22,L38:L45)</f>
        <v>1292.9485818622213</v>
      </c>
      <c r="O45" s="67">
        <f t="shared" si="0"/>
        <v>0</v>
      </c>
      <c r="P45" s="33">
        <f t="shared" si="2"/>
        <v>112.57421197123605</v>
      </c>
      <c r="Q45" s="33">
        <f t="shared" si="2"/>
        <v>0</v>
      </c>
      <c r="R45" s="43">
        <f t="shared" si="8"/>
        <v>11200.000000000002</v>
      </c>
      <c r="S45" s="21">
        <f>R45*D23*P45/1000+R45*(1-D23)*D24/1000</f>
        <v>1260.831174077844</v>
      </c>
      <c r="T45" s="64">
        <v>7</v>
      </c>
      <c r="U45" s="66">
        <f t="shared" si="3"/>
        <v>13919.926545517455</v>
      </c>
      <c r="V45" s="66">
        <f>(V44+(D71+D72))</f>
        <v>10094.4</v>
      </c>
    </row>
    <row r="46" spans="1:22" ht="15.75" x14ac:dyDescent="0.25">
      <c r="A46" s="24">
        <v>8</v>
      </c>
      <c r="B46" s="33">
        <f>(1+D10)*B45</f>
        <v>113.69995409094841</v>
      </c>
      <c r="C46" s="24">
        <v>0</v>
      </c>
      <c r="D46" s="33">
        <f>(D13/1000*B46)+C46</f>
        <v>1819.1992654551746</v>
      </c>
      <c r="E46" s="117" t="str">
        <f t="shared" si="9"/>
        <v/>
      </c>
      <c r="F46" s="118" t="str">
        <f t="shared" si="4"/>
        <v/>
      </c>
      <c r="G46" s="318" t="str">
        <f t="shared" si="5"/>
        <v/>
      </c>
      <c r="H46" s="318" t="str">
        <f>IFERROR(ROUND(IF(E46="","",($H$38-SUM($F$38:F46))),2),"")</f>
        <v/>
      </c>
      <c r="I46" s="119"/>
      <c r="J46" s="120">
        <f>D25</f>
        <v>150</v>
      </c>
      <c r="K46" s="121">
        <f t="shared" si="6"/>
        <v>150</v>
      </c>
      <c r="L46" s="68">
        <f t="shared" si="7"/>
        <v>1123.4394858186224</v>
      </c>
      <c r="M46" s="70">
        <f t="shared" si="1"/>
        <v>2416.388067680844</v>
      </c>
      <c r="N46" s="124">
        <f>NPV(D22,L38:L46)</f>
        <v>2416.388067680844</v>
      </c>
      <c r="O46" s="67">
        <f t="shared" si="0"/>
        <v>0</v>
      </c>
      <c r="P46" s="33">
        <f t="shared" si="2"/>
        <v>113.69995409094841</v>
      </c>
      <c r="Q46" s="33">
        <f t="shared" si="2"/>
        <v>0</v>
      </c>
      <c r="R46" s="43">
        <f t="shared" si="8"/>
        <v>11200.000000000002</v>
      </c>
      <c r="S46" s="21">
        <f>R46*D23*P46/1000+R46*(1-D23)*D24/1000</f>
        <v>1273.4394858186224</v>
      </c>
      <c r="T46" s="64">
        <v>8</v>
      </c>
      <c r="U46" s="66">
        <f t="shared" si="3"/>
        <v>15739.12581097263</v>
      </c>
      <c r="V46" s="66">
        <f>(V45+(D71+D72))</f>
        <v>11393.6</v>
      </c>
    </row>
    <row r="47" spans="1:22" ht="15.75" x14ac:dyDescent="0.25">
      <c r="A47" s="24">
        <v>9</v>
      </c>
      <c r="B47" s="33">
        <f>(1+D10)*B46</f>
        <v>114.8369536318579</v>
      </c>
      <c r="C47" s="24">
        <v>0</v>
      </c>
      <c r="D47" s="33">
        <f>(D13/1000*B47)+C47</f>
        <v>1837.3912581097263</v>
      </c>
      <c r="E47" s="117" t="str">
        <f t="shared" si="9"/>
        <v/>
      </c>
      <c r="F47" s="118" t="str">
        <f t="shared" si="4"/>
        <v/>
      </c>
      <c r="G47" s="318" t="str">
        <f t="shared" si="5"/>
        <v/>
      </c>
      <c r="H47" s="318" t="str">
        <f>IFERROR(ROUND(IF(E47="","",($H$38-SUM($F$38:F47))),2),"")</f>
        <v/>
      </c>
      <c r="I47" s="119"/>
      <c r="J47" s="120">
        <f>D25</f>
        <v>150</v>
      </c>
      <c r="K47" s="121">
        <f t="shared" si="6"/>
        <v>150</v>
      </c>
      <c r="L47" s="68">
        <f t="shared" si="7"/>
        <v>1136.1738806768085</v>
      </c>
      <c r="M47" s="70">
        <f t="shared" si="1"/>
        <v>3552.5619483576525</v>
      </c>
      <c r="N47" s="125">
        <f>NPV(D22,L38:L47)</f>
        <v>3552.5619483576525</v>
      </c>
      <c r="O47" s="67">
        <f t="shared" si="0"/>
        <v>0</v>
      </c>
      <c r="P47" s="33">
        <f t="shared" si="2"/>
        <v>114.8369536318579</v>
      </c>
      <c r="Q47" s="33">
        <f t="shared" si="2"/>
        <v>0</v>
      </c>
      <c r="R47" s="43">
        <f t="shared" si="8"/>
        <v>11200.000000000002</v>
      </c>
      <c r="S47" s="21">
        <f>R47*D23*P47/1000+R47*(1-D23)*D24/1000</f>
        <v>1286.1738806768085</v>
      </c>
      <c r="T47" s="64">
        <v>9</v>
      </c>
      <c r="U47" s="66">
        <f t="shared" si="3"/>
        <v>17576.517069082354</v>
      </c>
      <c r="V47" s="66">
        <f>(V46+(D71+D72))</f>
        <v>12692.800000000001</v>
      </c>
    </row>
    <row r="48" spans="1:22" ht="15.75" x14ac:dyDescent="0.25">
      <c r="A48" s="24">
        <v>10</v>
      </c>
      <c r="B48" s="33">
        <f>(1+D10)*B47</f>
        <v>115.98532316817648</v>
      </c>
      <c r="C48" s="24">
        <v>0</v>
      </c>
      <c r="D48" s="33">
        <f>(D13/1000*B48)+C48</f>
        <v>1855.7651706908237</v>
      </c>
      <c r="E48" s="117" t="str">
        <f t="shared" si="9"/>
        <v/>
      </c>
      <c r="F48" s="118" t="str">
        <f t="shared" si="4"/>
        <v/>
      </c>
      <c r="G48" s="318" t="str">
        <f t="shared" si="5"/>
        <v/>
      </c>
      <c r="H48" s="318" t="str">
        <f>IFERROR(ROUND(IF(E48="","",($H$38-SUM($F$38:F48))),2),"")</f>
        <v/>
      </c>
      <c r="I48" s="119"/>
      <c r="J48" s="120">
        <f>D25</f>
        <v>150</v>
      </c>
      <c r="K48" s="121">
        <f t="shared" si="6"/>
        <v>150</v>
      </c>
      <c r="L48" s="68">
        <f t="shared" si="7"/>
        <v>1149.035619483577</v>
      </c>
      <c r="M48" s="70">
        <f t="shared" si="1"/>
        <v>4701.5975678412296</v>
      </c>
      <c r="N48" s="125">
        <f>NPV(D22,L38:L48)</f>
        <v>4701.5975678412296</v>
      </c>
      <c r="O48" s="67">
        <f t="shared" si="0"/>
        <v>0</v>
      </c>
      <c r="P48" s="33">
        <f t="shared" si="2"/>
        <v>115.98532316817648</v>
      </c>
      <c r="Q48" s="33">
        <f t="shared" si="2"/>
        <v>0</v>
      </c>
      <c r="R48" s="43">
        <f t="shared" si="8"/>
        <v>11200.000000000002</v>
      </c>
      <c r="S48" s="21">
        <f>R48*D23*P48/1000+R48*(1-D23)*D24/1000</f>
        <v>1299.035619483577</v>
      </c>
      <c r="T48" s="64">
        <v>10</v>
      </c>
      <c r="U48" s="66">
        <f t="shared" si="3"/>
        <v>19432.28223977318</v>
      </c>
      <c r="V48" s="66">
        <f>(V47+(D71+D72))</f>
        <v>13992.000000000002</v>
      </c>
    </row>
    <row r="49" spans="1:22" ht="15.75" x14ac:dyDescent="0.25">
      <c r="A49" s="24">
        <v>11</v>
      </c>
      <c r="B49" s="33">
        <f>(1+D10)*B48</f>
        <v>117.14517639985824</v>
      </c>
      <c r="C49" s="24">
        <v>0</v>
      </c>
      <c r="D49" s="33">
        <f>(D13/1000*B49)+C49</f>
        <v>1874.3228223977319</v>
      </c>
      <c r="E49" s="117" t="str">
        <f t="shared" si="9"/>
        <v/>
      </c>
      <c r="F49" s="118" t="str">
        <f t="shared" si="4"/>
        <v/>
      </c>
      <c r="G49" s="318" t="str">
        <f t="shared" si="5"/>
        <v/>
      </c>
      <c r="H49" s="318" t="str">
        <f>IFERROR(ROUND(IF(E49="","",($H$38-SUM($F$38:F49))),2),"")</f>
        <v/>
      </c>
      <c r="I49" s="119"/>
      <c r="J49" s="120">
        <f>D25</f>
        <v>150</v>
      </c>
      <c r="K49" s="121">
        <f t="shared" si="6"/>
        <v>150</v>
      </c>
      <c r="L49" s="68">
        <f t="shared" si="7"/>
        <v>1162.0259756784126</v>
      </c>
      <c r="M49" s="70">
        <f t="shared" si="1"/>
        <v>5863.6235435196422</v>
      </c>
      <c r="N49" s="125">
        <f>NPV(D22,L38:L49)</f>
        <v>5863.6235435196422</v>
      </c>
      <c r="O49" s="67">
        <f t="shared" si="0"/>
        <v>0</v>
      </c>
      <c r="P49" s="33">
        <f t="shared" si="2"/>
        <v>117.14517639985824</v>
      </c>
      <c r="Q49" s="33">
        <f t="shared" si="2"/>
        <v>0</v>
      </c>
      <c r="R49" s="43">
        <f t="shared" si="8"/>
        <v>11200.000000000002</v>
      </c>
      <c r="S49" s="21">
        <f>R49*D23*P49/1000+R49*(1-D23)*D24/1000</f>
        <v>1312.0259756784126</v>
      </c>
      <c r="T49" s="64">
        <v>11</v>
      </c>
      <c r="U49" s="66">
        <f t="shared" si="3"/>
        <v>21306.605062170911</v>
      </c>
      <c r="V49" s="66">
        <f>(V48+(D71+D72))</f>
        <v>15291.200000000003</v>
      </c>
    </row>
    <row r="50" spans="1:22" ht="15.75" x14ac:dyDescent="0.25">
      <c r="A50" s="24">
        <v>12</v>
      </c>
      <c r="B50" s="33">
        <f>(1+D10)*B49</f>
        <v>118.31662816385683</v>
      </c>
      <c r="C50" s="24">
        <v>0</v>
      </c>
      <c r="D50" s="33">
        <f>(D13/1000*B50)+C50</f>
        <v>1893.0660506217093</v>
      </c>
      <c r="E50" s="117" t="str">
        <f t="shared" si="9"/>
        <v/>
      </c>
      <c r="F50" s="118" t="str">
        <f t="shared" si="4"/>
        <v/>
      </c>
      <c r="G50" s="318" t="str">
        <f t="shared" si="5"/>
        <v/>
      </c>
      <c r="H50" s="318" t="str">
        <f>IFERROR(ROUND(IF(E50="","",($H$38-SUM($F$38:F50))),2),"")</f>
        <v/>
      </c>
      <c r="I50" s="119"/>
      <c r="J50" s="120">
        <f>D25</f>
        <v>150</v>
      </c>
      <c r="K50" s="121">
        <f t="shared" si="6"/>
        <v>150</v>
      </c>
      <c r="L50" s="68">
        <f t="shared" si="7"/>
        <v>1175.1462354351966</v>
      </c>
      <c r="M50" s="70">
        <f t="shared" si="1"/>
        <v>7038.7697789548383</v>
      </c>
      <c r="N50" s="125">
        <f>NPV(D22,L38:L50)</f>
        <v>7038.7697789548383</v>
      </c>
      <c r="O50" s="67">
        <f t="shared" si="0"/>
        <v>0</v>
      </c>
      <c r="P50" s="33">
        <f t="shared" si="2"/>
        <v>118.31662816385683</v>
      </c>
      <c r="Q50" s="33">
        <f t="shared" si="2"/>
        <v>0</v>
      </c>
      <c r="R50" s="43">
        <f t="shared" si="8"/>
        <v>11200.000000000002</v>
      </c>
      <c r="S50" s="21">
        <f>R50*D23*P50/1000+R50*(1-D23)*D24/1000</f>
        <v>1325.1462354351966</v>
      </c>
      <c r="T50" s="64">
        <v>12</v>
      </c>
      <c r="U50" s="66">
        <f t="shared" si="3"/>
        <v>23199.671112792621</v>
      </c>
      <c r="V50" s="66">
        <f>(V49+(D71+D72))</f>
        <v>16590.400000000001</v>
      </c>
    </row>
    <row r="51" spans="1:22" ht="15.75" x14ac:dyDescent="0.25">
      <c r="A51" s="24">
        <v>13</v>
      </c>
      <c r="B51" s="33">
        <f>(1+D10)*B50</f>
        <v>119.4997944454954</v>
      </c>
      <c r="C51" s="24">
        <v>0</v>
      </c>
      <c r="D51" s="33">
        <f>(D13/1000*B51)+C51</f>
        <v>1911.9967111279263</v>
      </c>
      <c r="E51" s="117" t="str">
        <f t="shared" si="9"/>
        <v/>
      </c>
      <c r="F51" s="118" t="str">
        <f t="shared" si="4"/>
        <v/>
      </c>
      <c r="G51" s="318" t="str">
        <f t="shared" si="5"/>
        <v/>
      </c>
      <c r="H51" s="318" t="str">
        <f>IFERROR(ROUND(IF(E51="","",($H$38-SUM($F$38:F51))),2),"")</f>
        <v/>
      </c>
      <c r="I51" s="119"/>
      <c r="J51" s="120">
        <f>D25</f>
        <v>150</v>
      </c>
      <c r="K51" s="121">
        <f t="shared" si="6"/>
        <v>150</v>
      </c>
      <c r="L51" s="68">
        <f t="shared" si="7"/>
        <v>1188.3976977895486</v>
      </c>
      <c r="M51" s="70">
        <f t="shared" si="1"/>
        <v>8227.1674767443874</v>
      </c>
      <c r="N51" s="125">
        <f>NPV(D22,L38:L51)</f>
        <v>8227.1674767443874</v>
      </c>
      <c r="O51" s="67">
        <f t="shared" si="0"/>
        <v>0</v>
      </c>
      <c r="P51" s="33">
        <f t="shared" si="2"/>
        <v>119.4997944454954</v>
      </c>
      <c r="Q51" s="33">
        <f t="shared" si="2"/>
        <v>0</v>
      </c>
      <c r="R51" s="43">
        <f t="shared" si="8"/>
        <v>11200.000000000002</v>
      </c>
      <c r="S51" s="21">
        <f>R51*D23*P51/1000+R51*(1-D23)*D24/1000</f>
        <v>1338.3976977895486</v>
      </c>
      <c r="T51" s="64">
        <v>13</v>
      </c>
      <c r="U51" s="66">
        <f t="shared" si="3"/>
        <v>25111.667823920547</v>
      </c>
      <c r="V51" s="66">
        <f>(V50+(D71+D72))</f>
        <v>17889.600000000002</v>
      </c>
    </row>
    <row r="52" spans="1:22" ht="15.75" x14ac:dyDescent="0.25">
      <c r="A52" s="24">
        <v>14</v>
      </c>
      <c r="B52" s="33">
        <f>(1+D10)*B51</f>
        <v>120.69479238995035</v>
      </c>
      <c r="C52" s="24">
        <v>0</v>
      </c>
      <c r="D52" s="33">
        <f>(D13/1000*B52)+C52</f>
        <v>1931.1166782392056</v>
      </c>
      <c r="E52" s="117" t="str">
        <f t="shared" si="9"/>
        <v/>
      </c>
      <c r="F52" s="118" t="str">
        <f t="shared" si="4"/>
        <v/>
      </c>
      <c r="G52" s="318" t="str">
        <f t="shared" si="5"/>
        <v/>
      </c>
      <c r="H52" s="318" t="str">
        <f>IFERROR(ROUND(IF(E52="","",($H$38-SUM($F$38:F52))),2),"")</f>
        <v/>
      </c>
      <c r="I52" s="119"/>
      <c r="J52" s="120">
        <f>D25</f>
        <v>150</v>
      </c>
      <c r="K52" s="121">
        <f t="shared" si="6"/>
        <v>150</v>
      </c>
      <c r="L52" s="68">
        <f t="shared" si="7"/>
        <v>1201.7816747674442</v>
      </c>
      <c r="M52" s="70">
        <f t="shared" si="1"/>
        <v>9428.9491515118316</v>
      </c>
      <c r="N52" s="125">
        <f>NPV(D22,L38:L52)</f>
        <v>9428.9491515118316</v>
      </c>
      <c r="O52" s="67">
        <f t="shared" si="0"/>
        <v>0</v>
      </c>
      <c r="P52" s="33">
        <f t="shared" si="2"/>
        <v>120.69479238995035</v>
      </c>
      <c r="Q52" s="33">
        <f t="shared" si="2"/>
        <v>0</v>
      </c>
      <c r="R52" s="43">
        <f t="shared" si="8"/>
        <v>11200.000000000002</v>
      </c>
      <c r="S52" s="21">
        <f>R52*D23*P52/1000+R52*(1-D23)*D24/1000</f>
        <v>1351.7816747674442</v>
      </c>
      <c r="T52" s="64">
        <v>14</v>
      </c>
      <c r="U52" s="66">
        <f t="shared" si="3"/>
        <v>27042.784502159753</v>
      </c>
      <c r="V52" s="66">
        <f>(V51+(D71+D72))</f>
        <v>19188.800000000003</v>
      </c>
    </row>
    <row r="53" spans="1:22" ht="15.75" x14ac:dyDescent="0.25">
      <c r="A53" s="24">
        <v>15</v>
      </c>
      <c r="B53" s="33">
        <f>(1+D10)*B52</f>
        <v>121.90174031384986</v>
      </c>
      <c r="C53" s="24">
        <v>0</v>
      </c>
      <c r="D53" s="33">
        <f>(D13/1000*B53)+C53</f>
        <v>1950.4278450215977</v>
      </c>
      <c r="E53" s="117" t="str">
        <f t="shared" si="9"/>
        <v/>
      </c>
      <c r="F53" s="118" t="str">
        <f t="shared" si="4"/>
        <v/>
      </c>
      <c r="G53" s="318" t="str">
        <f t="shared" si="5"/>
        <v/>
      </c>
      <c r="H53" s="318" t="str">
        <f>IFERROR(ROUND(IF(E53="","",($H$38-SUM($F$38:F53))),2),"")</f>
        <v/>
      </c>
      <c r="I53" s="119"/>
      <c r="J53" s="120">
        <f>D25</f>
        <v>150</v>
      </c>
      <c r="K53" s="121">
        <f t="shared" si="6"/>
        <v>150</v>
      </c>
      <c r="L53" s="68">
        <f t="shared" si="7"/>
        <v>1215.2994915151187</v>
      </c>
      <c r="M53" s="70">
        <f t="shared" si="1"/>
        <v>10644.248643026951</v>
      </c>
      <c r="N53" s="125">
        <f>NPV(D22,L38:L53)</f>
        <v>10644.248643026951</v>
      </c>
      <c r="O53" s="67">
        <f t="shared" si="0"/>
        <v>0</v>
      </c>
      <c r="P53" s="33">
        <f t="shared" si="2"/>
        <v>121.90174031384986</v>
      </c>
      <c r="Q53" s="33">
        <f t="shared" si="2"/>
        <v>0</v>
      </c>
      <c r="R53" s="43">
        <f t="shared" si="8"/>
        <v>11200.000000000002</v>
      </c>
      <c r="S53" s="21">
        <f>R53*D23*P53/1000+R53*(1-D23)*D24/1000</f>
        <v>1365.2994915151187</v>
      </c>
      <c r="T53" s="64">
        <v>15</v>
      </c>
      <c r="U53" s="66">
        <f t="shared" si="3"/>
        <v>28993.21234718135</v>
      </c>
      <c r="V53" s="66">
        <f>(V52+(D71+D72))</f>
        <v>20488.000000000004</v>
      </c>
    </row>
    <row r="54" spans="1:22" ht="15.75" x14ac:dyDescent="0.25">
      <c r="A54" s="24">
        <v>16</v>
      </c>
      <c r="B54" s="33">
        <f>(1+D10)*B53</f>
        <v>123.12075771698835</v>
      </c>
      <c r="C54" s="24">
        <v>0</v>
      </c>
      <c r="D54" s="33">
        <f>(D13/1000*B54)+C54</f>
        <v>1969.9321234718136</v>
      </c>
      <c r="E54" s="117" t="str">
        <f t="shared" si="9"/>
        <v/>
      </c>
      <c r="F54" s="118" t="str">
        <f t="shared" si="4"/>
        <v/>
      </c>
      <c r="G54" s="318" t="str">
        <f t="shared" si="5"/>
        <v/>
      </c>
      <c r="H54" s="318" t="str">
        <f>IFERROR(ROUND(IF(E54="","",($H$38-SUM($F$38:F54))),2),"")</f>
        <v/>
      </c>
      <c r="I54" s="119"/>
      <c r="J54" s="120">
        <f>D25</f>
        <v>150</v>
      </c>
      <c r="K54" s="121">
        <f t="shared" si="6"/>
        <v>150</v>
      </c>
      <c r="L54" s="68">
        <f t="shared" si="7"/>
        <v>1228.9524864302696</v>
      </c>
      <c r="M54" s="70">
        <f t="shared" si="1"/>
        <v>11873.20112945722</v>
      </c>
      <c r="N54" s="125">
        <f>NPV(D22,L38:L54)</f>
        <v>11873.20112945722</v>
      </c>
      <c r="O54" s="67">
        <f t="shared" si="0"/>
        <v>0</v>
      </c>
      <c r="P54" s="33">
        <f t="shared" si="2"/>
        <v>123.12075771698835</v>
      </c>
      <c r="Q54" s="33">
        <f t="shared" si="2"/>
        <v>0</v>
      </c>
      <c r="R54" s="43">
        <f t="shared" si="8"/>
        <v>11200.000000000002</v>
      </c>
      <c r="S54" s="21">
        <f>R54*D23*P54/1000+R54*(1-D23)*D24/1000</f>
        <v>1378.9524864302696</v>
      </c>
      <c r="T54" s="64">
        <v>16</v>
      </c>
      <c r="U54" s="66">
        <f t="shared" si="3"/>
        <v>30963.144470653162</v>
      </c>
      <c r="V54" s="66">
        <f>(V53+(D71+D72))</f>
        <v>21787.200000000004</v>
      </c>
    </row>
    <row r="55" spans="1:22" ht="15.75" x14ac:dyDescent="0.25">
      <c r="A55" s="24">
        <v>17</v>
      </c>
      <c r="B55" s="33">
        <f>(1+D10)*B54</f>
        <v>124.35196529415823</v>
      </c>
      <c r="C55" s="24">
        <v>0</v>
      </c>
      <c r="D55" s="33">
        <f>(D13/1000*B55)+C55</f>
        <v>1989.6314447065317</v>
      </c>
      <c r="E55" s="117" t="str">
        <f t="shared" si="9"/>
        <v/>
      </c>
      <c r="F55" s="118" t="str">
        <f t="shared" si="4"/>
        <v/>
      </c>
      <c r="G55" s="318" t="str">
        <f t="shared" si="5"/>
        <v/>
      </c>
      <c r="H55" s="318" t="str">
        <f>IFERROR(ROUND(IF(E55="","",($H$38-SUM($F$38:F55))),2),"")</f>
        <v/>
      </c>
      <c r="I55" s="119"/>
      <c r="J55" s="120">
        <f>D25</f>
        <v>150</v>
      </c>
      <c r="K55" s="121">
        <f t="shared" si="6"/>
        <v>150</v>
      </c>
      <c r="L55" s="68">
        <f t="shared" si="7"/>
        <v>1242.7420112945724</v>
      </c>
      <c r="M55" s="70">
        <f t="shared" si="1"/>
        <v>13115.943140751793</v>
      </c>
      <c r="N55" s="125">
        <f>NPV(D22,L38:L55)</f>
        <v>13115.943140751793</v>
      </c>
      <c r="O55" s="67">
        <f t="shared" si="0"/>
        <v>0</v>
      </c>
      <c r="P55" s="33">
        <f t="shared" ref="P55:Q56" si="10">(1+$D$10)*P54</f>
        <v>124.35196529415823</v>
      </c>
      <c r="Q55" s="33">
        <f t="shared" si="10"/>
        <v>0</v>
      </c>
      <c r="R55" s="43">
        <f t="shared" si="8"/>
        <v>11200.000000000002</v>
      </c>
      <c r="S55" s="21">
        <f>R55*D23*P55/1000+R55*(1-D23)*D24/1000</f>
        <v>1392.7420112945724</v>
      </c>
      <c r="T55" s="64">
        <v>17</v>
      </c>
      <c r="U55" s="66">
        <f t="shared" si="3"/>
        <v>32952.775915359693</v>
      </c>
      <c r="V55" s="66">
        <f>(V54+(D71+D72))</f>
        <v>23086.400000000005</v>
      </c>
    </row>
    <row r="56" spans="1:22" ht="15.75" x14ac:dyDescent="0.25">
      <c r="A56" s="24">
        <v>18</v>
      </c>
      <c r="B56" s="33">
        <f>(1+D10)*B55</f>
        <v>125.59548494709982</v>
      </c>
      <c r="C56" s="24">
        <v>0</v>
      </c>
      <c r="D56" s="33">
        <f>(D13/1000*B56)+C56</f>
        <v>2009.5277591535971</v>
      </c>
      <c r="E56" s="117" t="str">
        <f t="shared" si="9"/>
        <v/>
      </c>
      <c r="F56" s="118" t="str">
        <f t="shared" si="4"/>
        <v/>
      </c>
      <c r="G56" s="318" t="str">
        <f t="shared" si="5"/>
        <v/>
      </c>
      <c r="H56" s="318" t="str">
        <f>IFERROR(ROUND(IF(E56="","",($H$38-SUM($F$38:F56))),2),"")</f>
        <v/>
      </c>
      <c r="I56" s="126"/>
      <c r="J56" s="127">
        <f>D25</f>
        <v>150</v>
      </c>
      <c r="K56" s="121">
        <f t="shared" si="6"/>
        <v>150</v>
      </c>
      <c r="L56" s="68">
        <f t="shared" si="7"/>
        <v>1256.6694314075182</v>
      </c>
      <c r="M56" s="70">
        <f t="shared" si="1"/>
        <v>14372.612572159311</v>
      </c>
      <c r="N56" s="125">
        <f>NPV(D22,L38:L56)</f>
        <v>14372.612572159311</v>
      </c>
      <c r="O56" s="67">
        <f t="shared" si="0"/>
        <v>0</v>
      </c>
      <c r="P56" s="33">
        <f t="shared" si="10"/>
        <v>125.59548494709982</v>
      </c>
      <c r="Q56" s="33">
        <f t="shared" si="10"/>
        <v>0</v>
      </c>
      <c r="R56" s="43">
        <f t="shared" si="8"/>
        <v>11200.000000000002</v>
      </c>
      <c r="S56" s="21">
        <f>R56*D23*P56/1000+R56*(1-D23)*D24/1000</f>
        <v>1406.6694314075182</v>
      </c>
      <c r="T56" s="64">
        <v>18</v>
      </c>
      <c r="U56" s="66">
        <f t="shared" si="3"/>
        <v>34962.303674513292</v>
      </c>
      <c r="V56" s="66">
        <f>(V55+(D71+D72))</f>
        <v>24385.600000000006</v>
      </c>
    </row>
    <row r="57" spans="1:22" ht="15.75" x14ac:dyDescent="0.25">
      <c r="A57" s="24">
        <v>19</v>
      </c>
      <c r="B57" s="33">
        <f>(1+D10)*B56</f>
        <v>126.85143979657082</v>
      </c>
      <c r="C57" s="24">
        <v>0</v>
      </c>
      <c r="D57" s="33">
        <f>(D13/1000*B57)+C57</f>
        <v>2029.623036745133</v>
      </c>
      <c r="E57" s="117" t="str">
        <f t="shared" si="9"/>
        <v/>
      </c>
      <c r="F57" s="118" t="str">
        <f t="shared" si="4"/>
        <v/>
      </c>
      <c r="G57" s="318" t="str">
        <f t="shared" si="5"/>
        <v/>
      </c>
      <c r="H57" s="318" t="str">
        <f>IFERROR(ROUND(IF(E57="","",($H$38-SUM($F$38:F57))),2),"")</f>
        <v/>
      </c>
      <c r="I57" s="126"/>
      <c r="J57" s="127">
        <f>D25</f>
        <v>150</v>
      </c>
      <c r="K57" s="121">
        <f t="shared" si="6"/>
        <v>150</v>
      </c>
      <c r="L57" s="68">
        <f t="shared" si="7"/>
        <v>1270.7361257215935</v>
      </c>
      <c r="M57" s="70">
        <f>M56+$L57</f>
        <v>15643.348697880905</v>
      </c>
      <c r="N57" s="125">
        <f>NPV(D22,L38:L57)</f>
        <v>15643.348697880905</v>
      </c>
      <c r="O57" s="67">
        <f t="shared" si="0"/>
        <v>0</v>
      </c>
      <c r="P57" s="33">
        <f>(1+$D$10)*P56</f>
        <v>126.85143979657082</v>
      </c>
      <c r="Q57" s="33">
        <f>(1+$D$10)*Q56</f>
        <v>0</v>
      </c>
      <c r="R57" s="43">
        <f t="shared" si="8"/>
        <v>11200.000000000002</v>
      </c>
      <c r="S57" s="21">
        <f>R57*$D$23*P57/1000+R57*(1-$D$23)*$D$24/1000</f>
        <v>1420.7361257215935</v>
      </c>
      <c r="T57" s="64">
        <v>19</v>
      </c>
      <c r="U57" s="66">
        <f t="shared" si="3"/>
        <v>36991.926711258428</v>
      </c>
      <c r="V57" s="66">
        <f>(V56+($D$71+$D$72))</f>
        <v>25684.800000000007</v>
      </c>
    </row>
    <row r="58" spans="1:22" ht="15.75" x14ac:dyDescent="0.25">
      <c r="A58" s="24">
        <v>20</v>
      </c>
      <c r="B58" s="33">
        <f>(1+D10)*B57</f>
        <v>128.11995419453652</v>
      </c>
      <c r="C58" s="24">
        <v>0</v>
      </c>
      <c r="D58" s="33">
        <f>(D13/1000*B58)+C58</f>
        <v>2049.9192671125843</v>
      </c>
      <c r="E58" s="117" t="str">
        <f t="shared" si="9"/>
        <v/>
      </c>
      <c r="F58" s="118" t="str">
        <f t="shared" si="4"/>
        <v/>
      </c>
      <c r="G58" s="318" t="str">
        <f t="shared" si="5"/>
        <v/>
      </c>
      <c r="H58" s="318" t="str">
        <f>IFERROR(ROUND(IF(E58="","",($H$38-SUM($F$38:F58))),2),"")</f>
        <v/>
      </c>
      <c r="I58" s="126"/>
      <c r="J58" s="127">
        <f>D25</f>
        <v>150</v>
      </c>
      <c r="K58" s="121">
        <f t="shared" si="6"/>
        <v>150</v>
      </c>
      <c r="L58" s="68">
        <f t="shared" si="7"/>
        <v>1284.9434869788095</v>
      </c>
      <c r="M58" s="70">
        <f>M57+$L58</f>
        <v>16928.292184859714</v>
      </c>
      <c r="N58" s="125">
        <f>NPV(D22,L38:L58)</f>
        <v>16928.292184859714</v>
      </c>
      <c r="O58" s="67">
        <f t="shared" si="0"/>
        <v>0</v>
      </c>
      <c r="P58" s="33">
        <f>(1+$D$10)*P57</f>
        <v>128.11995419453652</v>
      </c>
      <c r="Q58" s="33">
        <f>(1+$D$10)*Q57</f>
        <v>0</v>
      </c>
      <c r="R58" s="43">
        <f t="shared" si="8"/>
        <v>11200.000000000002</v>
      </c>
      <c r="S58" s="21">
        <f>R58*$D$23*P58/1000+R58*(1-$D$23)*$D$24/1000</f>
        <v>1434.9434869788095</v>
      </c>
      <c r="T58" s="64">
        <v>20</v>
      </c>
      <c r="U58" s="66">
        <f t="shared" si="3"/>
        <v>39041.845978371013</v>
      </c>
      <c r="V58" s="66">
        <f>(V57+($D$71+$D$72))</f>
        <v>26984.000000000007</v>
      </c>
    </row>
    <row r="59" spans="1:22" ht="15.75" x14ac:dyDescent="0.25">
      <c r="A59" s="12"/>
      <c r="B59" s="12"/>
      <c r="C59" s="12"/>
      <c r="D59" s="128">
        <f>SUM(D38:D58)</f>
        <v>39041.845978371013</v>
      </c>
      <c r="E59" s="129"/>
      <c r="F59" s="130" t="s">
        <v>4</v>
      </c>
      <c r="G59" s="56">
        <f>SUM(G38:G58)</f>
        <v>225</v>
      </c>
      <c r="H59" s="130"/>
      <c r="I59" s="130"/>
      <c r="J59" s="56">
        <f>SUM(J38:J58)</f>
        <v>3000</v>
      </c>
      <c r="K59" s="56">
        <f>SUM(K38:K58)</f>
        <v>9225</v>
      </c>
      <c r="L59" s="131"/>
      <c r="M59" s="34"/>
      <c r="O59" s="35">
        <f>SUM(O38:O58)</f>
        <v>5</v>
      </c>
      <c r="P59" s="36">
        <f>AVERAGE(P38:P58)</f>
        <v>116.19597017372325</v>
      </c>
      <c r="Q59" s="36">
        <f>AVERAGE(Q38:Q58)</f>
        <v>0</v>
      </c>
      <c r="R59" s="37">
        <f>SUM(R38:R58)</f>
        <v>235200.00000000003</v>
      </c>
      <c r="S59" s="132">
        <f>NPV(S22,S38:S58)</f>
        <v>26153.292184859711</v>
      </c>
    </row>
    <row r="60" spans="1:22" ht="15.6" customHeight="1" x14ac:dyDescent="0.25">
      <c r="A60" s="8"/>
    </row>
    <row r="61" spans="1:22" ht="15.6" customHeight="1" x14ac:dyDescent="0.25">
      <c r="A61" s="8"/>
    </row>
    <row r="62" spans="1:22" ht="15.6" customHeight="1" x14ac:dyDescent="0.25">
      <c r="A62" s="8"/>
    </row>
    <row r="63" spans="1:22" ht="15.75" x14ac:dyDescent="0.25">
      <c r="A63" s="22" t="s">
        <v>76</v>
      </c>
      <c r="B63" s="12"/>
      <c r="C63" s="12"/>
      <c r="D63" s="12"/>
    </row>
    <row r="64" spans="1:22" ht="15.75" x14ac:dyDescent="0.25">
      <c r="A64" s="365" t="s">
        <v>77</v>
      </c>
      <c r="B64" s="366"/>
      <c r="C64" s="367"/>
      <c r="D64" s="19">
        <f>G105</f>
        <v>11200.000000000002</v>
      </c>
      <c r="E64" s="100" t="s">
        <v>27</v>
      </c>
      <c r="F64" s="100" t="s">
        <v>4</v>
      </c>
    </row>
    <row r="65" spans="1:6" ht="15.75" x14ac:dyDescent="0.25">
      <c r="A65" s="368" t="s">
        <v>78</v>
      </c>
      <c r="B65" s="369"/>
      <c r="C65" s="370"/>
      <c r="D65" s="98">
        <v>1</v>
      </c>
      <c r="F65" s="100" t="s">
        <v>79</v>
      </c>
    </row>
    <row r="66" spans="1:6" ht="15.75" x14ac:dyDescent="0.25">
      <c r="A66" s="365" t="s">
        <v>80</v>
      </c>
      <c r="B66" s="366"/>
      <c r="C66" s="367"/>
      <c r="D66" s="23">
        <f>(H105/G105)</f>
        <v>0</v>
      </c>
    </row>
    <row r="67" spans="1:6" ht="15.75" x14ac:dyDescent="0.25">
      <c r="A67" s="371" t="s">
        <v>81</v>
      </c>
      <c r="B67" s="372"/>
      <c r="C67" s="373"/>
      <c r="D67" s="282">
        <f>C105</f>
        <v>16000.000000000002</v>
      </c>
      <c r="E67" s="100" t="s">
        <v>82</v>
      </c>
    </row>
    <row r="68" spans="1:6" ht="15.75" x14ac:dyDescent="0.25">
      <c r="A68" s="368" t="s">
        <v>84</v>
      </c>
      <c r="B68" s="338"/>
      <c r="C68" s="339"/>
      <c r="D68" s="283">
        <v>20</v>
      </c>
      <c r="E68" s="100" t="s">
        <v>85</v>
      </c>
      <c r="F68" s="100" t="s">
        <v>4</v>
      </c>
    </row>
    <row r="69" spans="1:6" ht="15.75" x14ac:dyDescent="0.25">
      <c r="A69" s="368" t="s">
        <v>86</v>
      </c>
      <c r="B69" s="338"/>
      <c r="C69" s="339"/>
      <c r="D69" s="284">
        <f>I105/C105</f>
        <v>0.70000000000000007</v>
      </c>
      <c r="E69" s="100" t="s">
        <v>4</v>
      </c>
      <c r="F69" s="100" t="s">
        <v>4</v>
      </c>
    </row>
    <row r="70" spans="1:6" ht="15.75" x14ac:dyDescent="0.25">
      <c r="A70" s="374" t="s">
        <v>230</v>
      </c>
      <c r="B70" s="350"/>
      <c r="C70" s="358"/>
      <c r="D70" s="290">
        <f>D19-IF(D19*D20&gt;4000,4000,D19*D20)-D21</f>
        <v>6000</v>
      </c>
      <c r="F70" s="100" t="s">
        <v>233</v>
      </c>
    </row>
    <row r="71" spans="1:6" ht="15.75" x14ac:dyDescent="0.25">
      <c r="A71" s="375" t="s">
        <v>121</v>
      </c>
      <c r="B71" s="375"/>
      <c r="C71" s="375"/>
      <c r="D71" s="65">
        <f>(M105)*D28/100</f>
        <v>627.20000000000016</v>
      </c>
    </row>
    <row r="72" spans="1:6" ht="15.75" x14ac:dyDescent="0.25">
      <c r="A72" s="380" t="s">
        <v>140</v>
      </c>
      <c r="B72" s="381"/>
      <c r="C72" s="382"/>
      <c r="D72" s="108">
        <f>(L105)*D28/100</f>
        <v>671.99999999999989</v>
      </c>
    </row>
    <row r="73" spans="1:6" ht="15.75" x14ac:dyDescent="0.25">
      <c r="A73" s="376" t="s">
        <v>108</v>
      </c>
      <c r="B73" s="376"/>
      <c r="C73" s="376"/>
      <c r="D73" s="45">
        <f>L105*D68</f>
        <v>95999.999999999985</v>
      </c>
      <c r="E73" s="100" t="s">
        <v>27</v>
      </c>
    </row>
    <row r="74" spans="1:6" ht="15.75" x14ac:dyDescent="0.25">
      <c r="A74" s="376" t="s">
        <v>87</v>
      </c>
      <c r="B74" s="376"/>
      <c r="C74" s="376"/>
      <c r="D74" s="285">
        <f>(M105*D68)</f>
        <v>89600.000000000015</v>
      </c>
      <c r="E74" s="100" t="s">
        <v>27</v>
      </c>
      <c r="F74" s="100" t="s">
        <v>4</v>
      </c>
    </row>
    <row r="75" spans="1:6" x14ac:dyDescent="0.25">
      <c r="E75" s="100" t="s">
        <v>4</v>
      </c>
    </row>
    <row r="76" spans="1:6" ht="16.5" thickBot="1" x14ac:dyDescent="0.3">
      <c r="A76" s="25" t="s">
        <v>88</v>
      </c>
      <c r="B76" s="12"/>
      <c r="C76" s="12"/>
      <c r="D76" s="12"/>
      <c r="E76" s="100" t="s">
        <v>4</v>
      </c>
      <c r="F76" s="100" t="s">
        <v>4</v>
      </c>
    </row>
    <row r="77" spans="1:6" ht="15.75" x14ac:dyDescent="0.25">
      <c r="A77" s="377" t="s">
        <v>89</v>
      </c>
      <c r="B77" s="378"/>
      <c r="C77" s="379"/>
      <c r="D77" s="26">
        <f>N58</f>
        <v>16928.292184859714</v>
      </c>
    </row>
    <row r="78" spans="1:6" ht="15.75" x14ac:dyDescent="0.25">
      <c r="A78" s="364" t="s">
        <v>90</v>
      </c>
      <c r="B78" s="338"/>
      <c r="C78" s="339"/>
      <c r="D78" s="27">
        <f>O59</f>
        <v>5</v>
      </c>
    </row>
    <row r="79" spans="1:6" ht="15.75" x14ac:dyDescent="0.25">
      <c r="A79" s="364" t="s">
        <v>107</v>
      </c>
      <c r="B79" s="338"/>
      <c r="C79" s="339"/>
      <c r="D79" s="28">
        <f>D70/J105</f>
        <v>5.1020408163265305</v>
      </c>
    </row>
    <row r="80" spans="1:6" ht="15.75" x14ac:dyDescent="0.25">
      <c r="A80" s="364" t="s">
        <v>38</v>
      </c>
      <c r="B80" s="385"/>
      <c r="C80" s="386"/>
      <c r="D80" s="29">
        <f>IRR(L38:L58,0.1)</f>
        <v>0.30116198654868609</v>
      </c>
      <c r="E80" s="100" t="s">
        <v>4</v>
      </c>
      <c r="F80" s="100" t="s">
        <v>4</v>
      </c>
    </row>
    <row r="81" spans="1:13" ht="16.5" thickBot="1" x14ac:dyDescent="0.3">
      <c r="A81" s="387" t="s">
        <v>152</v>
      </c>
      <c r="B81" s="388"/>
      <c r="C81" s="389"/>
      <c r="D81" s="30">
        <f>K59/R59*1000</f>
        <v>39.221938775510203</v>
      </c>
      <c r="E81" s="100" t="s">
        <v>47</v>
      </c>
    </row>
    <row r="83" spans="1:13" x14ac:dyDescent="0.25">
      <c r="A83" s="31" t="s">
        <v>91</v>
      </c>
    </row>
    <row r="84" spans="1:13" ht="15.75" x14ac:dyDescent="0.25">
      <c r="A84" s="390" t="s">
        <v>92</v>
      </c>
      <c r="B84" s="390"/>
      <c r="C84" s="390"/>
      <c r="D84" s="286">
        <v>84</v>
      </c>
      <c r="E84" s="100" t="s">
        <v>93</v>
      </c>
      <c r="F84" s="100" t="s">
        <v>4</v>
      </c>
      <c r="G84" s="100" t="s">
        <v>6</v>
      </c>
      <c r="H84" s="100">
        <v>2024</v>
      </c>
      <c r="I84" s="10" t="s">
        <v>274</v>
      </c>
    </row>
    <row r="85" spans="1:13" ht="15.75" x14ac:dyDescent="0.25">
      <c r="A85" s="390" t="s">
        <v>95</v>
      </c>
      <c r="B85" s="390"/>
      <c r="C85" s="390"/>
      <c r="D85" s="286">
        <v>106</v>
      </c>
      <c r="E85" s="100" t="s">
        <v>93</v>
      </c>
      <c r="G85" s="100" t="s">
        <v>261</v>
      </c>
      <c r="H85" s="100">
        <v>2024</v>
      </c>
      <c r="I85" s="10" t="s">
        <v>274</v>
      </c>
    </row>
    <row r="86" spans="1:13" ht="15.75" x14ac:dyDescent="0.25">
      <c r="A86" s="390" t="s">
        <v>96</v>
      </c>
      <c r="B86" s="390"/>
      <c r="C86" s="390"/>
      <c r="D86" s="287">
        <v>261.72000000000003</v>
      </c>
      <c r="E86" s="100" t="s">
        <v>93</v>
      </c>
      <c r="G86" s="100" t="s">
        <v>6</v>
      </c>
      <c r="H86" s="100">
        <v>2019</v>
      </c>
      <c r="I86" s="10" t="s">
        <v>94</v>
      </c>
    </row>
    <row r="87" spans="1:13" ht="15.75" x14ac:dyDescent="0.25">
      <c r="A87" s="390" t="s">
        <v>97</v>
      </c>
      <c r="B87" s="390"/>
      <c r="C87" s="390"/>
      <c r="D87" s="288">
        <f>(G105*D86)/1000</f>
        <v>2931.264000000001</v>
      </c>
      <c r="E87" s="100" t="s">
        <v>98</v>
      </c>
      <c r="F87" s="100" t="s">
        <v>4</v>
      </c>
    </row>
    <row r="88" spans="1:13" ht="15.75" x14ac:dyDescent="0.25">
      <c r="A88" s="390" t="s">
        <v>120</v>
      </c>
      <c r="B88" s="390"/>
      <c r="C88" s="390"/>
      <c r="D88" s="288">
        <f>(G105*D86)/1000-(M105*D84)/1000</f>
        <v>2554.9440000000009</v>
      </c>
      <c r="E88" s="100" t="s">
        <v>98</v>
      </c>
      <c r="G88" s="252" t="s">
        <v>275</v>
      </c>
      <c r="H88" s="252"/>
      <c r="I88" s="10" t="s">
        <v>276</v>
      </c>
    </row>
    <row r="89" spans="1:13" x14ac:dyDescent="0.25">
      <c r="A89" s="57"/>
      <c r="B89" s="57"/>
      <c r="C89" s="57"/>
      <c r="D89" s="57"/>
    </row>
    <row r="90" spans="1:13" x14ac:dyDescent="0.25">
      <c r="A90" s="8" t="s">
        <v>50</v>
      </c>
    </row>
    <row r="91" spans="1:13" x14ac:dyDescent="0.25">
      <c r="A91" s="9" t="s">
        <v>51</v>
      </c>
    </row>
    <row r="92" spans="1:13" ht="105" x14ac:dyDescent="0.25">
      <c r="A92" s="12"/>
      <c r="B92" s="12"/>
      <c r="C92" s="134" t="s">
        <v>52</v>
      </c>
      <c r="D92" s="13" t="s">
        <v>53</v>
      </c>
      <c r="E92" s="13" t="s">
        <v>54</v>
      </c>
      <c r="G92" s="13" t="s">
        <v>55</v>
      </c>
      <c r="H92" s="13" t="s">
        <v>56</v>
      </c>
      <c r="I92" s="13" t="s">
        <v>57</v>
      </c>
      <c r="J92" s="13" t="s">
        <v>58</v>
      </c>
      <c r="K92" s="13" t="s">
        <v>59</v>
      </c>
      <c r="L92" s="14" t="s">
        <v>60</v>
      </c>
      <c r="M92" s="15" t="s">
        <v>61</v>
      </c>
    </row>
    <row r="93" spans="1:13" ht="15.75" x14ac:dyDescent="0.25">
      <c r="A93" s="383" t="s">
        <v>62</v>
      </c>
      <c r="B93" s="384"/>
      <c r="C93" s="135">
        <f>$D$13/12</f>
        <v>1333.3333333333333</v>
      </c>
      <c r="D93" s="133">
        <f t="shared" ref="D93:D104" si="11">$D$106</f>
        <v>105</v>
      </c>
      <c r="E93" s="63">
        <f t="shared" ref="E93:E104" si="12">$D$24</f>
        <v>0</v>
      </c>
      <c r="G93" s="17">
        <f>(D26/12)</f>
        <v>933.33333333333337</v>
      </c>
      <c r="H93" s="18">
        <f t="shared" ref="H93:H104" si="13">IF(G93-C93&lt;0,0,G93-C93)</f>
        <v>0</v>
      </c>
      <c r="I93" s="19">
        <f t="shared" ref="I93:I104" si="14">G93-H93</f>
        <v>933.33333333333337</v>
      </c>
      <c r="J93" s="18">
        <f t="shared" ref="J93:J104" si="15">I93/1000*D93</f>
        <v>98</v>
      </c>
      <c r="K93" s="18">
        <f t="shared" ref="K93:K104" si="16">E93*H93/100</f>
        <v>0</v>
      </c>
      <c r="L93" s="43">
        <f t="shared" ref="L93:L104" si="17">C93-I93</f>
        <v>399.99999999999989</v>
      </c>
      <c r="M93" s="55">
        <f>(G93/D18)</f>
        <v>373.33333333333337</v>
      </c>
    </row>
    <row r="94" spans="1:13" ht="15.75" x14ac:dyDescent="0.25">
      <c r="A94" s="383" t="s">
        <v>63</v>
      </c>
      <c r="B94" s="384"/>
      <c r="C94" s="135">
        <f t="shared" ref="C94:C104" si="18">$D$13/12</f>
        <v>1333.3333333333333</v>
      </c>
      <c r="D94" s="133">
        <f t="shared" si="11"/>
        <v>105</v>
      </c>
      <c r="E94" s="63">
        <f t="shared" si="12"/>
        <v>0</v>
      </c>
      <c r="G94" s="17">
        <f>(D26/12)</f>
        <v>933.33333333333337</v>
      </c>
      <c r="H94" s="18">
        <f t="shared" si="13"/>
        <v>0</v>
      </c>
      <c r="I94" s="19">
        <f t="shared" si="14"/>
        <v>933.33333333333337</v>
      </c>
      <c r="J94" s="18">
        <f t="shared" si="15"/>
        <v>98</v>
      </c>
      <c r="K94" s="18">
        <f t="shared" si="16"/>
        <v>0</v>
      </c>
      <c r="L94" s="43">
        <f t="shared" si="17"/>
        <v>399.99999999999989</v>
      </c>
      <c r="M94" s="55">
        <f>(G94/D18)</f>
        <v>373.33333333333337</v>
      </c>
    </row>
    <row r="95" spans="1:13" ht="15.75" x14ac:dyDescent="0.25">
      <c r="A95" s="383" t="s">
        <v>64</v>
      </c>
      <c r="B95" s="384"/>
      <c r="C95" s="135">
        <f t="shared" si="18"/>
        <v>1333.3333333333333</v>
      </c>
      <c r="D95" s="133">
        <f t="shared" si="11"/>
        <v>105</v>
      </c>
      <c r="E95" s="63">
        <f t="shared" si="12"/>
        <v>0</v>
      </c>
      <c r="G95" s="17">
        <f>(D26/12)</f>
        <v>933.33333333333337</v>
      </c>
      <c r="H95" s="18">
        <f t="shared" si="13"/>
        <v>0</v>
      </c>
      <c r="I95" s="19">
        <f t="shared" si="14"/>
        <v>933.33333333333337</v>
      </c>
      <c r="J95" s="18">
        <f t="shared" si="15"/>
        <v>98</v>
      </c>
      <c r="K95" s="18">
        <f t="shared" si="16"/>
        <v>0</v>
      </c>
      <c r="L95" s="43">
        <f t="shared" si="17"/>
        <v>399.99999999999989</v>
      </c>
      <c r="M95" s="55">
        <f>(G95/D18)</f>
        <v>373.33333333333337</v>
      </c>
    </row>
    <row r="96" spans="1:13" ht="15.75" x14ac:dyDescent="0.25">
      <c r="A96" s="383" t="s">
        <v>65</v>
      </c>
      <c r="B96" s="384"/>
      <c r="C96" s="135">
        <f t="shared" si="18"/>
        <v>1333.3333333333333</v>
      </c>
      <c r="D96" s="133">
        <f t="shared" si="11"/>
        <v>105</v>
      </c>
      <c r="E96" s="63">
        <f t="shared" si="12"/>
        <v>0</v>
      </c>
      <c r="G96" s="17">
        <f>(D26/12)</f>
        <v>933.33333333333337</v>
      </c>
      <c r="H96" s="18">
        <f t="shared" si="13"/>
        <v>0</v>
      </c>
      <c r="I96" s="19">
        <f t="shared" si="14"/>
        <v>933.33333333333337</v>
      </c>
      <c r="J96" s="18">
        <f t="shared" si="15"/>
        <v>98</v>
      </c>
      <c r="K96" s="18">
        <f t="shared" si="16"/>
        <v>0</v>
      </c>
      <c r="L96" s="43">
        <f t="shared" si="17"/>
        <v>399.99999999999989</v>
      </c>
      <c r="M96" s="55">
        <f>(G96/D18)</f>
        <v>373.33333333333337</v>
      </c>
    </row>
    <row r="97" spans="1:13" ht="15.75" x14ac:dyDescent="0.25">
      <c r="A97" s="383" t="s">
        <v>66</v>
      </c>
      <c r="B97" s="384"/>
      <c r="C97" s="135">
        <f t="shared" si="18"/>
        <v>1333.3333333333333</v>
      </c>
      <c r="D97" s="133">
        <f t="shared" si="11"/>
        <v>105</v>
      </c>
      <c r="E97" s="63">
        <f t="shared" si="12"/>
        <v>0</v>
      </c>
      <c r="G97" s="17">
        <f>(D26/12)</f>
        <v>933.33333333333337</v>
      </c>
      <c r="H97" s="18">
        <f t="shared" si="13"/>
        <v>0</v>
      </c>
      <c r="I97" s="19">
        <f t="shared" si="14"/>
        <v>933.33333333333337</v>
      </c>
      <c r="J97" s="18">
        <f t="shared" si="15"/>
        <v>98</v>
      </c>
      <c r="K97" s="18">
        <f t="shared" si="16"/>
        <v>0</v>
      </c>
      <c r="L97" s="43">
        <f t="shared" si="17"/>
        <v>399.99999999999989</v>
      </c>
      <c r="M97" s="55">
        <f>(G97/D18)</f>
        <v>373.33333333333337</v>
      </c>
    </row>
    <row r="98" spans="1:13" ht="15.75" x14ac:dyDescent="0.25">
      <c r="A98" s="383" t="s">
        <v>67</v>
      </c>
      <c r="B98" s="384"/>
      <c r="C98" s="135">
        <f t="shared" si="18"/>
        <v>1333.3333333333333</v>
      </c>
      <c r="D98" s="133">
        <f t="shared" si="11"/>
        <v>105</v>
      </c>
      <c r="E98" s="63">
        <f t="shared" si="12"/>
        <v>0</v>
      </c>
      <c r="G98" s="17">
        <f>(D26/12)</f>
        <v>933.33333333333337</v>
      </c>
      <c r="H98" s="18">
        <f t="shared" si="13"/>
        <v>0</v>
      </c>
      <c r="I98" s="19">
        <f t="shared" si="14"/>
        <v>933.33333333333337</v>
      </c>
      <c r="J98" s="18">
        <f t="shared" si="15"/>
        <v>98</v>
      </c>
      <c r="K98" s="18">
        <f t="shared" si="16"/>
        <v>0</v>
      </c>
      <c r="L98" s="43">
        <f t="shared" si="17"/>
        <v>399.99999999999989</v>
      </c>
      <c r="M98" s="55">
        <f>(G98/D18)</f>
        <v>373.33333333333337</v>
      </c>
    </row>
    <row r="99" spans="1:13" ht="15.75" x14ac:dyDescent="0.25">
      <c r="A99" s="383" t="s">
        <v>68</v>
      </c>
      <c r="B99" s="384"/>
      <c r="C99" s="135">
        <f t="shared" si="18"/>
        <v>1333.3333333333333</v>
      </c>
      <c r="D99" s="133">
        <f t="shared" si="11"/>
        <v>105</v>
      </c>
      <c r="E99" s="63">
        <f t="shared" si="12"/>
        <v>0</v>
      </c>
      <c r="G99" s="17">
        <f>(D26/12)</f>
        <v>933.33333333333337</v>
      </c>
      <c r="H99" s="18">
        <f t="shared" si="13"/>
        <v>0</v>
      </c>
      <c r="I99" s="19">
        <f t="shared" si="14"/>
        <v>933.33333333333337</v>
      </c>
      <c r="J99" s="18">
        <f t="shared" si="15"/>
        <v>98</v>
      </c>
      <c r="K99" s="18">
        <f t="shared" si="16"/>
        <v>0</v>
      </c>
      <c r="L99" s="43">
        <f t="shared" si="17"/>
        <v>399.99999999999989</v>
      </c>
      <c r="M99" s="55">
        <f>(G99/D18)</f>
        <v>373.33333333333337</v>
      </c>
    </row>
    <row r="100" spans="1:13" ht="15.75" x14ac:dyDescent="0.25">
      <c r="A100" s="383" t="s">
        <v>69</v>
      </c>
      <c r="B100" s="384"/>
      <c r="C100" s="135">
        <f t="shared" si="18"/>
        <v>1333.3333333333333</v>
      </c>
      <c r="D100" s="133">
        <f t="shared" si="11"/>
        <v>105</v>
      </c>
      <c r="E100" s="63">
        <f t="shared" si="12"/>
        <v>0</v>
      </c>
      <c r="G100" s="17">
        <f>(D26/12)</f>
        <v>933.33333333333337</v>
      </c>
      <c r="H100" s="18">
        <f t="shared" si="13"/>
        <v>0</v>
      </c>
      <c r="I100" s="19">
        <f t="shared" si="14"/>
        <v>933.33333333333337</v>
      </c>
      <c r="J100" s="18">
        <f t="shared" si="15"/>
        <v>98</v>
      </c>
      <c r="K100" s="18">
        <f t="shared" si="16"/>
        <v>0</v>
      </c>
      <c r="L100" s="43">
        <f t="shared" si="17"/>
        <v>399.99999999999989</v>
      </c>
      <c r="M100" s="55">
        <f>(G100/D18)</f>
        <v>373.33333333333337</v>
      </c>
    </row>
    <row r="101" spans="1:13" ht="15.75" x14ac:dyDescent="0.25">
      <c r="A101" s="383" t="s">
        <v>70</v>
      </c>
      <c r="B101" s="384"/>
      <c r="C101" s="135">
        <f t="shared" si="18"/>
        <v>1333.3333333333333</v>
      </c>
      <c r="D101" s="133">
        <f t="shared" si="11"/>
        <v>105</v>
      </c>
      <c r="E101" s="63">
        <f t="shared" si="12"/>
        <v>0</v>
      </c>
      <c r="G101" s="17">
        <f>(D26/12)</f>
        <v>933.33333333333337</v>
      </c>
      <c r="H101" s="18">
        <f t="shared" si="13"/>
        <v>0</v>
      </c>
      <c r="I101" s="19">
        <f t="shared" si="14"/>
        <v>933.33333333333337</v>
      </c>
      <c r="J101" s="18">
        <f t="shared" si="15"/>
        <v>98</v>
      </c>
      <c r="K101" s="18">
        <f t="shared" si="16"/>
        <v>0</v>
      </c>
      <c r="L101" s="43">
        <f t="shared" si="17"/>
        <v>399.99999999999989</v>
      </c>
      <c r="M101" s="55">
        <f>(G101/D18)</f>
        <v>373.33333333333337</v>
      </c>
    </row>
    <row r="102" spans="1:13" ht="15.75" x14ac:dyDescent="0.25">
      <c r="A102" s="383" t="s">
        <v>71</v>
      </c>
      <c r="B102" s="384"/>
      <c r="C102" s="135">
        <f t="shared" si="18"/>
        <v>1333.3333333333333</v>
      </c>
      <c r="D102" s="133">
        <f t="shared" si="11"/>
        <v>105</v>
      </c>
      <c r="E102" s="63">
        <f t="shared" si="12"/>
        <v>0</v>
      </c>
      <c r="G102" s="17">
        <f>(D26/12)</f>
        <v>933.33333333333337</v>
      </c>
      <c r="H102" s="18">
        <f t="shared" si="13"/>
        <v>0</v>
      </c>
      <c r="I102" s="19">
        <f t="shared" si="14"/>
        <v>933.33333333333337</v>
      </c>
      <c r="J102" s="18">
        <f t="shared" si="15"/>
        <v>98</v>
      </c>
      <c r="K102" s="18">
        <f t="shared" si="16"/>
        <v>0</v>
      </c>
      <c r="L102" s="43">
        <f t="shared" si="17"/>
        <v>399.99999999999989</v>
      </c>
      <c r="M102" s="55">
        <f>(G102/D18)</f>
        <v>373.33333333333337</v>
      </c>
    </row>
    <row r="103" spans="1:13" ht="15.75" x14ac:dyDescent="0.25">
      <c r="A103" s="383" t="s">
        <v>72</v>
      </c>
      <c r="B103" s="384"/>
      <c r="C103" s="135">
        <f t="shared" si="18"/>
        <v>1333.3333333333333</v>
      </c>
      <c r="D103" s="133">
        <f t="shared" si="11"/>
        <v>105</v>
      </c>
      <c r="E103" s="63">
        <f t="shared" si="12"/>
        <v>0</v>
      </c>
      <c r="G103" s="17">
        <f>(D26/12)</f>
        <v>933.33333333333337</v>
      </c>
      <c r="H103" s="18">
        <f t="shared" si="13"/>
        <v>0</v>
      </c>
      <c r="I103" s="19">
        <f t="shared" si="14"/>
        <v>933.33333333333337</v>
      </c>
      <c r="J103" s="18">
        <f t="shared" si="15"/>
        <v>98</v>
      </c>
      <c r="K103" s="18">
        <f t="shared" si="16"/>
        <v>0</v>
      </c>
      <c r="L103" s="43">
        <f t="shared" si="17"/>
        <v>399.99999999999989</v>
      </c>
      <c r="M103" s="55">
        <f>(G103/D18)</f>
        <v>373.33333333333337</v>
      </c>
    </row>
    <row r="104" spans="1:13" ht="15.75" x14ac:dyDescent="0.25">
      <c r="A104" s="383" t="s">
        <v>73</v>
      </c>
      <c r="B104" s="384"/>
      <c r="C104" s="135">
        <f t="shared" si="18"/>
        <v>1333.3333333333333</v>
      </c>
      <c r="D104" s="133">
        <f t="shared" si="11"/>
        <v>105</v>
      </c>
      <c r="E104" s="63">
        <f t="shared" si="12"/>
        <v>0</v>
      </c>
      <c r="G104" s="17">
        <f>(D26/12)</f>
        <v>933.33333333333337</v>
      </c>
      <c r="H104" s="18">
        <f t="shared" si="13"/>
        <v>0</v>
      </c>
      <c r="I104" s="19">
        <f t="shared" si="14"/>
        <v>933.33333333333337</v>
      </c>
      <c r="J104" s="18">
        <f t="shared" si="15"/>
        <v>98</v>
      </c>
      <c r="K104" s="18">
        <f t="shared" si="16"/>
        <v>0</v>
      </c>
      <c r="L104" s="43">
        <f t="shared" si="17"/>
        <v>399.99999999999989</v>
      </c>
      <c r="M104" s="55">
        <f>(G104/D18)</f>
        <v>373.33333333333337</v>
      </c>
    </row>
    <row r="105" spans="1:13" ht="15.75" x14ac:dyDescent="0.25">
      <c r="A105" s="391" t="s">
        <v>74</v>
      </c>
      <c r="B105" s="392"/>
      <c r="C105" s="20">
        <f>SUM(C93:C104)</f>
        <v>16000.000000000002</v>
      </c>
      <c r="D105" s="12"/>
      <c r="E105" s="12"/>
      <c r="G105" s="18">
        <f t="shared" ref="G105:L105" si="19">SUM(G93:G104)</f>
        <v>11200.000000000002</v>
      </c>
      <c r="H105" s="18">
        <f t="shared" si="19"/>
        <v>0</v>
      </c>
      <c r="I105" s="19">
        <f t="shared" si="19"/>
        <v>11200.000000000002</v>
      </c>
      <c r="J105" s="21">
        <f t="shared" si="19"/>
        <v>1176</v>
      </c>
      <c r="K105" s="18">
        <f t="shared" si="19"/>
        <v>0</v>
      </c>
      <c r="L105" s="43">
        <f t="shared" si="19"/>
        <v>4799.9999999999991</v>
      </c>
      <c r="M105" s="99">
        <f t="shared" ref="M105" si="20">(G105/2.5)</f>
        <v>4480.0000000000009</v>
      </c>
    </row>
    <row r="106" spans="1:13" ht="15.75" x14ac:dyDescent="0.25">
      <c r="A106" s="391" t="s">
        <v>75</v>
      </c>
      <c r="B106" s="393"/>
      <c r="C106" s="12"/>
      <c r="D106" s="16">
        <f>D9</f>
        <v>105</v>
      </c>
      <c r="E106" s="16">
        <f>D24</f>
        <v>0</v>
      </c>
    </row>
    <row r="108" spans="1:13" x14ac:dyDescent="0.25">
      <c r="E108" s="100" t="s">
        <v>4</v>
      </c>
    </row>
  </sheetData>
  <mergeCells count="56">
    <mergeCell ref="A103:B103"/>
    <mergeCell ref="A104:B104"/>
    <mergeCell ref="A105:B105"/>
    <mergeCell ref="A106:B106"/>
    <mergeCell ref="A97:B97"/>
    <mergeCell ref="A98:B98"/>
    <mergeCell ref="A99:B99"/>
    <mergeCell ref="A100:B100"/>
    <mergeCell ref="A101:B101"/>
    <mergeCell ref="A102:B102"/>
    <mergeCell ref="A96:B96"/>
    <mergeCell ref="A79:C79"/>
    <mergeCell ref="A80:C80"/>
    <mergeCell ref="A81:C81"/>
    <mergeCell ref="A84:C84"/>
    <mergeCell ref="A85:C85"/>
    <mergeCell ref="A86:C86"/>
    <mergeCell ref="A87:C87"/>
    <mergeCell ref="A88:C88"/>
    <mergeCell ref="A93:B93"/>
    <mergeCell ref="A94:B94"/>
    <mergeCell ref="A95:B95"/>
    <mergeCell ref="A78:C78"/>
    <mergeCell ref="A64:C64"/>
    <mergeCell ref="A65:C65"/>
    <mergeCell ref="A66:C66"/>
    <mergeCell ref="A67:C67"/>
    <mergeCell ref="A68:C68"/>
    <mergeCell ref="A69:C69"/>
    <mergeCell ref="A70:C70"/>
    <mergeCell ref="A71:C71"/>
    <mergeCell ref="A73:C73"/>
    <mergeCell ref="A74:C74"/>
    <mergeCell ref="A77:C77"/>
    <mergeCell ref="A72:C72"/>
    <mergeCell ref="A31:C31"/>
    <mergeCell ref="A20:C20"/>
    <mergeCell ref="A21:C21"/>
    <mergeCell ref="A22:C22"/>
    <mergeCell ref="A23:C23"/>
    <mergeCell ref="A24:C24"/>
    <mergeCell ref="A25:C25"/>
    <mergeCell ref="A26:C26"/>
    <mergeCell ref="A27:C27"/>
    <mergeCell ref="A28:C28"/>
    <mergeCell ref="A29:C29"/>
    <mergeCell ref="A30:C30"/>
    <mergeCell ref="A19:C19"/>
    <mergeCell ref="A1:L1"/>
    <mergeCell ref="A9:C9"/>
    <mergeCell ref="A10:C10"/>
    <mergeCell ref="A11:C11"/>
    <mergeCell ref="A18:C18"/>
    <mergeCell ref="A12:C12"/>
    <mergeCell ref="A13:C13"/>
    <mergeCell ref="A14:C14"/>
  </mergeCells>
  <conditionalFormatting sqref="M39:N58 M38">
    <cfRule type="cellIs" dxfId="1" priority="1" operator="greaterThan">
      <formula>1</formula>
    </cfRule>
  </conditionalFormatting>
  <conditionalFormatting sqref="N39:N58">
    <cfRule type="colorScale" priority="2">
      <colorScale>
        <cfvo type="min"/>
        <cfvo type="percentile" val="50"/>
        <cfvo type="max"/>
        <color rgb="FFF8696B"/>
        <color rgb="FFFCFCFF"/>
        <color rgb="FF63BE7B"/>
      </colorScale>
    </cfRule>
  </conditionalFormatting>
  <conditionalFormatting sqref="M38:M58">
    <cfRule type="colorScale" priority="3">
      <colorScale>
        <cfvo type="min"/>
        <cfvo type="percentile" val="50"/>
        <cfvo type="max"/>
        <color rgb="FFF8696B"/>
        <color rgb="FFFCFCFF"/>
        <color rgb="FF63BE7B"/>
      </colorScale>
    </cfRule>
  </conditionalFormatting>
  <hyperlinks>
    <hyperlink ref="I10" r:id="rId1" xr:uid="{D959F02B-D383-4892-86D6-BC2281A1E36D}"/>
    <hyperlink ref="I21" r:id="rId2" display="www.vero.fi" xr:uid="{7D8998D5-A44F-4606-B5FA-33D0277A30D7}"/>
    <hyperlink ref="K21" r:id="rId3" display="www.businessfinland.fi" xr:uid="{11DDAFF0-FCAB-456F-B7FA-75361107600C}"/>
    <hyperlink ref="N21" r:id="rId4" display="www.ara.fi" xr:uid="{A1617914-626C-4D83-AD33-4437EE2CD912}"/>
    <hyperlink ref="I19" r:id="rId5" display="www.sulpu.fi" xr:uid="{24380236-4559-4262-A60B-13EFBB438B29}"/>
    <hyperlink ref="H20" r:id="rId6" xr:uid="{8B6DC3B0-8C9D-459A-BCDD-F87C775FAC41}"/>
    <hyperlink ref="I20" r:id="rId7" xr:uid="{55F86D38-3F4B-4A9A-9F48-4313B8437D2E}"/>
    <hyperlink ref="K20" r:id="rId8" xr:uid="{04FC5E83-361F-4848-A251-2CE7D454A20A}"/>
    <hyperlink ref="L20" r:id="rId9" xr:uid="{DA822004-6D37-4B84-8817-42759BFDB903}"/>
    <hyperlink ref="I86" r:id="rId10" xr:uid="{FA9C0CD8-EF0E-4869-8D5E-94972FD9F4F1}"/>
    <hyperlink ref="I84" r:id="rId11" location="fi_id7000000778" display="https://co2data.fi/rakentaminen/ - fi_id7000000778" xr:uid="{7560C005-F079-4ECD-B6D5-DF8A36C6526B}"/>
    <hyperlink ref="I85" r:id="rId12" xr:uid="{CF81AFF5-CA04-4C7A-A921-5435417B2C49}"/>
    <hyperlink ref="I88" r:id="rId13" xr:uid="{F5528C44-2F54-4E63-8281-F77965DC1580}"/>
  </hyperlinks>
  <pageMargins left="0.7" right="0.7" top="0.75" bottom="0.75" header="0.3" footer="0.3"/>
  <pageSetup paperSize="9" orientation="portrait" r:id="rId14"/>
  <drawing r:id="rId15"/>
  <legacyDrawing r:id="rId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78A0-57C1-4238-AB54-67F3C977A779}">
  <sheetPr>
    <tabColor rgb="FFFFC000"/>
  </sheetPr>
  <dimension ref="A1:V113"/>
  <sheetViews>
    <sheetView zoomScale="80" zoomScaleNormal="80" workbookViewId="0">
      <selection activeCell="A3" sqref="A3"/>
    </sheetView>
  </sheetViews>
  <sheetFormatPr defaultRowHeight="15" x14ac:dyDescent="0.25"/>
  <cols>
    <col min="1" max="1" width="52" customWidth="1"/>
    <col min="2" max="3" width="10.42578125" customWidth="1"/>
    <col min="4" max="4" width="11.5703125" customWidth="1"/>
    <col min="5" max="5" width="10.140625" bestFit="1" customWidth="1"/>
    <col min="6" max="6" width="11.140625" customWidth="1"/>
    <col min="8" max="8" width="10.85546875" bestFit="1" customWidth="1"/>
    <col min="9" max="9" width="11.28515625" bestFit="1" customWidth="1"/>
    <col min="10" max="10" width="11.85546875" bestFit="1" customWidth="1"/>
    <col min="11" max="14" width="11.140625" customWidth="1"/>
    <col min="18" max="18" width="9.5703125" customWidth="1"/>
    <col min="19" max="19" width="9.42578125" customWidth="1"/>
    <col min="21" max="22" width="11.140625" customWidth="1"/>
  </cols>
  <sheetData>
    <row r="1" spans="1:12" x14ac:dyDescent="0.25">
      <c r="A1" s="340" t="s">
        <v>262</v>
      </c>
      <c r="B1" s="340"/>
      <c r="C1" s="340"/>
      <c r="D1" s="340"/>
      <c r="E1" s="340"/>
      <c r="F1" s="340"/>
      <c r="G1" s="340"/>
      <c r="H1" s="340"/>
      <c r="I1" s="340"/>
      <c r="J1" s="340"/>
      <c r="K1" s="340"/>
      <c r="L1" s="340"/>
    </row>
    <row r="2" spans="1:12" x14ac:dyDescent="0.25">
      <c r="A2" s="145" t="s">
        <v>153</v>
      </c>
    </row>
    <row r="3" spans="1:12" ht="15.75" x14ac:dyDescent="0.25">
      <c r="A3" s="252" t="s">
        <v>279</v>
      </c>
    </row>
    <row r="5" spans="1:12" x14ac:dyDescent="0.25">
      <c r="A5" s="8" t="s">
        <v>46</v>
      </c>
    </row>
    <row r="6" spans="1:12" x14ac:dyDescent="0.25">
      <c r="A6" s="9" t="s">
        <v>1</v>
      </c>
    </row>
    <row r="7" spans="1:12" x14ac:dyDescent="0.25">
      <c r="A7" s="9"/>
    </row>
    <row r="8" spans="1:12" x14ac:dyDescent="0.25">
      <c r="A8" s="48" t="s">
        <v>111</v>
      </c>
    </row>
    <row r="9" spans="1:12" ht="15.75" x14ac:dyDescent="0.25">
      <c r="A9" s="341" t="s">
        <v>267</v>
      </c>
      <c r="B9" s="338"/>
      <c r="C9" s="339"/>
      <c r="D9" s="38">
        <f>((1+1.1)/2)*100</f>
        <v>105</v>
      </c>
      <c r="E9" t="s">
        <v>47</v>
      </c>
      <c r="G9" t="s">
        <v>4</v>
      </c>
    </row>
    <row r="10" spans="1:12" ht="15.75" x14ac:dyDescent="0.25">
      <c r="A10" s="341" t="s">
        <v>113</v>
      </c>
      <c r="B10" s="338"/>
      <c r="C10" s="339"/>
      <c r="D10" s="305">
        <v>0.01</v>
      </c>
      <c r="G10" t="s">
        <v>6</v>
      </c>
      <c r="I10" s="10" t="s">
        <v>9</v>
      </c>
    </row>
    <row r="11" spans="1:12" x14ac:dyDescent="0.25">
      <c r="A11" s="342" t="s">
        <v>110</v>
      </c>
      <c r="B11" s="343"/>
      <c r="C11" s="344"/>
      <c r="D11" s="42">
        <f>(2000)*10</f>
        <v>20000</v>
      </c>
      <c r="E11" t="s">
        <v>10</v>
      </c>
      <c r="G11" t="s">
        <v>4</v>
      </c>
    </row>
    <row r="12" spans="1:12" ht="15.75" x14ac:dyDescent="0.25">
      <c r="A12" s="342" t="s">
        <v>137</v>
      </c>
      <c r="B12" s="343"/>
      <c r="C12" s="344"/>
      <c r="D12" s="105">
        <v>0.8</v>
      </c>
      <c r="E12" s="100"/>
    </row>
    <row r="13" spans="1:12" ht="15.75" x14ac:dyDescent="0.25">
      <c r="A13" s="342" t="s">
        <v>138</v>
      </c>
      <c r="B13" s="343"/>
      <c r="C13" s="344"/>
      <c r="D13" s="106">
        <f>(D11*D12)</f>
        <v>16000</v>
      </c>
      <c r="E13" s="100" t="s">
        <v>10</v>
      </c>
    </row>
    <row r="14" spans="1:12" x14ac:dyDescent="0.25">
      <c r="A14" s="346" t="s">
        <v>139</v>
      </c>
      <c r="B14" s="346"/>
      <c r="C14" s="346"/>
      <c r="D14" s="42" t="s">
        <v>4</v>
      </c>
      <c r="E14" s="100" t="s">
        <v>4</v>
      </c>
    </row>
    <row r="15" spans="1:12" x14ac:dyDescent="0.25">
      <c r="A15" s="46"/>
      <c r="B15" s="46"/>
      <c r="C15" s="46"/>
      <c r="D15" s="47"/>
    </row>
    <row r="16" spans="1:12" x14ac:dyDescent="0.25">
      <c r="A16" s="46"/>
      <c r="B16" s="46"/>
      <c r="C16" s="46"/>
      <c r="D16" s="47"/>
    </row>
    <row r="17" spans="1:18" x14ac:dyDescent="0.25">
      <c r="A17" s="49" t="s">
        <v>112</v>
      </c>
      <c r="B17" s="46"/>
      <c r="C17" s="46"/>
      <c r="D17" s="47"/>
    </row>
    <row r="18" spans="1:18" ht="15.75" x14ac:dyDescent="0.25">
      <c r="A18" s="345" t="s">
        <v>114</v>
      </c>
      <c r="B18" s="338"/>
      <c r="C18" s="339"/>
      <c r="D18" s="11">
        <v>3.2</v>
      </c>
    </row>
    <row r="19" spans="1:18" ht="15.75" x14ac:dyDescent="0.25">
      <c r="A19" s="337" t="s">
        <v>268</v>
      </c>
      <c r="B19" s="338"/>
      <c r="C19" s="339"/>
      <c r="D19" s="39">
        <f>(14000+20000)/2</f>
        <v>17000</v>
      </c>
      <c r="E19" t="s">
        <v>4</v>
      </c>
      <c r="F19" t="s">
        <v>4</v>
      </c>
      <c r="G19" t="s">
        <v>4</v>
      </c>
      <c r="I19" s="10" t="s">
        <v>4</v>
      </c>
    </row>
    <row r="20" spans="1:18" ht="15.75" x14ac:dyDescent="0.25">
      <c r="A20" s="345" t="s">
        <v>48</v>
      </c>
      <c r="B20" s="338"/>
      <c r="C20" s="339"/>
      <c r="D20" s="97">
        <v>0.23499999999999999</v>
      </c>
      <c r="G20" t="s">
        <v>6</v>
      </c>
      <c r="H20" s="10" t="s">
        <v>18</v>
      </c>
      <c r="I20" s="10" t="s">
        <v>19</v>
      </c>
      <c r="K20" s="10" t="s">
        <v>20</v>
      </c>
      <c r="L20" s="10" t="s">
        <v>249</v>
      </c>
      <c r="P20" s="100"/>
      <c r="R20" s="100" t="s">
        <v>277</v>
      </c>
    </row>
    <row r="21" spans="1:18" ht="15.75" x14ac:dyDescent="0.25">
      <c r="A21" s="348" t="s">
        <v>49</v>
      </c>
      <c r="B21" s="338"/>
      <c r="C21" s="339"/>
      <c r="D21" s="59">
        <v>0</v>
      </c>
      <c r="G21" t="s">
        <v>4</v>
      </c>
      <c r="I21" s="10" t="s">
        <v>4</v>
      </c>
      <c r="K21" s="10" t="s">
        <v>4</v>
      </c>
      <c r="N21" s="10" t="s">
        <v>4</v>
      </c>
    </row>
    <row r="22" spans="1:18" ht="15.75" x14ac:dyDescent="0.25">
      <c r="A22" s="349" t="s">
        <v>118</v>
      </c>
      <c r="B22" s="350"/>
      <c r="C22" s="350"/>
      <c r="D22" s="52">
        <v>0</v>
      </c>
    </row>
    <row r="23" spans="1:18" ht="15.75" x14ac:dyDescent="0.25">
      <c r="A23" s="351" t="s">
        <v>119</v>
      </c>
      <c r="B23" s="352"/>
      <c r="C23" s="353"/>
      <c r="D23" s="60">
        <v>1</v>
      </c>
    </row>
    <row r="24" spans="1:18" ht="15.75" x14ac:dyDescent="0.25">
      <c r="A24" s="354" t="s">
        <v>269</v>
      </c>
      <c r="B24" s="355"/>
      <c r="C24" s="356"/>
      <c r="D24" s="61">
        <v>0</v>
      </c>
      <c r="E24" s="4" t="s">
        <v>47</v>
      </c>
    </row>
    <row r="25" spans="1:18" ht="15.6" customHeight="1" x14ac:dyDescent="0.25">
      <c r="A25" s="357" t="s">
        <v>270</v>
      </c>
      <c r="B25" s="350"/>
      <c r="C25" s="358"/>
      <c r="D25" s="306">
        <v>150</v>
      </c>
      <c r="E25" s="88"/>
    </row>
    <row r="26" spans="1:18" ht="15.75" x14ac:dyDescent="0.25">
      <c r="A26" s="359" t="s">
        <v>131</v>
      </c>
      <c r="B26" s="360"/>
      <c r="C26" s="361"/>
      <c r="D26" s="58">
        <f>(D13*0.96)</f>
        <v>15360</v>
      </c>
      <c r="E26" t="s">
        <v>27</v>
      </c>
      <c r="F26" t="s">
        <v>4</v>
      </c>
      <c r="G26" t="s">
        <v>257</v>
      </c>
      <c r="H26" s="100"/>
      <c r="I26" s="100"/>
      <c r="J26" s="100"/>
    </row>
    <row r="27" spans="1:18" ht="15.6" customHeight="1" x14ac:dyDescent="0.25">
      <c r="A27" s="362" t="s">
        <v>83</v>
      </c>
      <c r="B27" s="350"/>
      <c r="C27" s="358"/>
      <c r="D27" s="62">
        <v>0</v>
      </c>
    </row>
    <row r="28" spans="1:18" ht="15.75" x14ac:dyDescent="0.25">
      <c r="A28" s="363" t="s">
        <v>271</v>
      </c>
      <c r="B28" s="363"/>
      <c r="C28" s="363"/>
      <c r="D28" s="314">
        <f>(14)</f>
        <v>14</v>
      </c>
      <c r="E28" t="s">
        <v>3</v>
      </c>
    </row>
    <row r="29" spans="1:18" ht="15.75" x14ac:dyDescent="0.25">
      <c r="A29" s="347" t="s">
        <v>115</v>
      </c>
      <c r="B29" s="347"/>
      <c r="C29" s="347"/>
      <c r="D29" s="315">
        <v>5000</v>
      </c>
      <c r="E29" t="s">
        <v>4</v>
      </c>
    </row>
    <row r="30" spans="1:18" ht="15.75" x14ac:dyDescent="0.25">
      <c r="A30" s="347" t="s">
        <v>116</v>
      </c>
      <c r="B30" s="347"/>
      <c r="C30" s="347"/>
      <c r="D30" s="54">
        <v>5</v>
      </c>
      <c r="E30" t="s">
        <v>85</v>
      </c>
    </row>
    <row r="31" spans="1:18" ht="15.75" x14ac:dyDescent="0.25">
      <c r="A31" s="347" t="s">
        <v>117</v>
      </c>
      <c r="B31" s="347"/>
      <c r="C31" s="347"/>
      <c r="D31" s="53">
        <v>1.4999999999999999E-2</v>
      </c>
    </row>
    <row r="32" spans="1:18" ht="15.75" x14ac:dyDescent="0.25">
      <c r="A32" s="50"/>
      <c r="B32" s="44"/>
      <c r="C32" s="44"/>
      <c r="D32" s="51"/>
    </row>
    <row r="33" spans="1:22" ht="15.75" x14ac:dyDescent="0.25">
      <c r="A33" s="50"/>
      <c r="B33" s="44"/>
      <c r="C33" s="44"/>
      <c r="D33" s="51"/>
    </row>
    <row r="34" spans="1:22" ht="15.75" x14ac:dyDescent="0.25">
      <c r="A34" s="50"/>
      <c r="B34" s="44"/>
      <c r="C34" s="44"/>
      <c r="D34" s="51"/>
    </row>
    <row r="35" spans="1:22" ht="15.75" x14ac:dyDescent="0.25">
      <c r="A35" s="50"/>
      <c r="B35" s="44"/>
      <c r="C35" s="44"/>
      <c r="D35" s="51"/>
    </row>
    <row r="36" spans="1:22" ht="15.75" x14ac:dyDescent="0.25">
      <c r="A36" s="25" t="s">
        <v>99</v>
      </c>
      <c r="B36" s="12"/>
      <c r="C36" s="12"/>
      <c r="D36" s="12"/>
    </row>
    <row r="37" spans="1:22" ht="126" x14ac:dyDescent="0.25">
      <c r="A37" s="109" t="s">
        <v>141</v>
      </c>
      <c r="B37" s="110" t="s">
        <v>142</v>
      </c>
      <c r="C37" s="110" t="s">
        <v>143</v>
      </c>
      <c r="D37" s="110" t="s">
        <v>144</v>
      </c>
      <c r="E37" s="111" t="s">
        <v>116</v>
      </c>
      <c r="F37" s="111" t="s">
        <v>145</v>
      </c>
      <c r="G37" s="111" t="s">
        <v>146</v>
      </c>
      <c r="H37" s="111" t="s">
        <v>147</v>
      </c>
      <c r="I37" s="111" t="s">
        <v>148</v>
      </c>
      <c r="J37" s="111" t="s">
        <v>149</v>
      </c>
      <c r="K37" s="111" t="s">
        <v>150</v>
      </c>
      <c r="L37" s="112" t="s">
        <v>31</v>
      </c>
      <c r="M37" s="113" t="s">
        <v>32</v>
      </c>
      <c r="N37" s="113" t="s">
        <v>33</v>
      </c>
      <c r="O37" s="112" t="s">
        <v>101</v>
      </c>
      <c r="P37" s="109" t="s">
        <v>102</v>
      </c>
      <c r="Q37" s="109" t="s">
        <v>103</v>
      </c>
      <c r="R37" s="109" t="s">
        <v>104</v>
      </c>
      <c r="S37" s="114" t="s">
        <v>100</v>
      </c>
      <c r="T37" s="115" t="s">
        <v>30</v>
      </c>
      <c r="U37" s="116" t="s">
        <v>151</v>
      </c>
      <c r="V37" s="116" t="s">
        <v>105</v>
      </c>
    </row>
    <row r="38" spans="1:22" ht="15.75" x14ac:dyDescent="0.25">
      <c r="A38" s="24">
        <v>0</v>
      </c>
      <c r="B38" s="33">
        <f>D9</f>
        <v>105</v>
      </c>
      <c r="C38" s="24">
        <v>0</v>
      </c>
      <c r="D38" s="33">
        <f>(D13/1000*B38)+C38</f>
        <v>1680</v>
      </c>
      <c r="E38" s="117">
        <f>(0)</f>
        <v>0</v>
      </c>
      <c r="F38" s="118">
        <f>IF((D30&gt;0),0,$D$75)</f>
        <v>0</v>
      </c>
      <c r="G38" s="318">
        <f>(0)</f>
        <v>0</v>
      </c>
      <c r="H38" s="318">
        <f>IF(D29&gt;0,(D29),"")</f>
        <v>5000</v>
      </c>
      <c r="I38" s="318">
        <f>IF(OR(H38="",H38=0),0,D75-D29)</f>
        <v>8005</v>
      </c>
      <c r="J38" s="120">
        <v>0</v>
      </c>
      <c r="K38" s="322">
        <f>IFERROR(F38+G38+I38+J38,J38)</f>
        <v>8005</v>
      </c>
      <c r="L38" s="32">
        <f>S38-K38</f>
        <v>-8005</v>
      </c>
      <c r="M38" s="21">
        <f>L38</f>
        <v>-8005</v>
      </c>
      <c r="N38" s="21" t="s">
        <v>4</v>
      </c>
      <c r="O38" s="24">
        <f t="shared" ref="O38:O63" si="0">IF(N38&lt;0,1,0)</f>
        <v>0</v>
      </c>
      <c r="P38" s="33">
        <f>D9</f>
        <v>105</v>
      </c>
      <c r="Q38" s="33">
        <f>D24</f>
        <v>0</v>
      </c>
      <c r="R38" s="43">
        <f>IF(D24&gt;0,G110,I110)</f>
        <v>15360</v>
      </c>
      <c r="S38" s="21">
        <v>0</v>
      </c>
      <c r="T38" s="64">
        <v>0</v>
      </c>
      <c r="U38" s="66">
        <f>D38</f>
        <v>1680</v>
      </c>
      <c r="V38" s="66">
        <f>(K38)</f>
        <v>8005</v>
      </c>
    </row>
    <row r="39" spans="1:22" ht="15.75" x14ac:dyDescent="0.25">
      <c r="A39" s="24">
        <v>1</v>
      </c>
      <c r="B39" s="33">
        <f>(1+D10)*B38</f>
        <v>106.05</v>
      </c>
      <c r="C39" s="24">
        <v>0</v>
      </c>
      <c r="D39" s="33">
        <f>(D13/1000*B39)+C39</f>
        <v>1696.8</v>
      </c>
      <c r="E39" s="117">
        <f>IF(OR(H38="",H38=0),"",E38+1)</f>
        <v>1</v>
      </c>
      <c r="F39" s="118">
        <f>IF(E39="","",$D$29/$D$30)</f>
        <v>1000</v>
      </c>
      <c r="G39" s="318">
        <f>IF(E39="","",((H38*$D$31)))</f>
        <v>75</v>
      </c>
      <c r="H39" s="318">
        <f>IFERROR(ROUND(IF(E39="","",($H$38-SUM($F$38:F39))),2),"")</f>
        <v>4000</v>
      </c>
      <c r="I39" s="119"/>
      <c r="J39" s="120">
        <f>D25</f>
        <v>150</v>
      </c>
      <c r="K39" s="322">
        <f>IFERROR(F39+G39+I39+J39,J39)</f>
        <v>1225</v>
      </c>
      <c r="L39" s="32">
        <f>S39-K39</f>
        <v>403.92800000000011</v>
      </c>
      <c r="M39" s="21">
        <f t="shared" ref="M39:M63" si="1">M38+$L39</f>
        <v>-7601.0720000000001</v>
      </c>
      <c r="N39" s="21">
        <f>NPV(D22,L38:L39)</f>
        <v>-7601.0720000000001</v>
      </c>
      <c r="O39" s="24">
        <f t="shared" si="0"/>
        <v>1</v>
      </c>
      <c r="P39" s="33">
        <f t="shared" ref="P39:Q54" si="2">(1+$D$10)*P38</f>
        <v>106.05</v>
      </c>
      <c r="Q39" s="33">
        <f t="shared" si="2"/>
        <v>0</v>
      </c>
      <c r="R39" s="43">
        <f>R38*(1+D27)</f>
        <v>15360</v>
      </c>
      <c r="S39" s="21">
        <f>R39*D23*P39/1000+R39*(1-D23)*D24/1000</f>
        <v>1628.9280000000001</v>
      </c>
      <c r="T39" s="64">
        <v>1</v>
      </c>
      <c r="U39" s="66">
        <f t="shared" ref="U39:U63" si="3">(U38+D39)</f>
        <v>3376.8</v>
      </c>
      <c r="V39" s="66">
        <f>(V38+(D76+D77))</f>
        <v>8766.6</v>
      </c>
    </row>
    <row r="40" spans="1:22" ht="15.75" x14ac:dyDescent="0.25">
      <c r="A40" s="24">
        <v>2</v>
      </c>
      <c r="B40" s="33">
        <f>(1+D10)*B39</f>
        <v>107.1105</v>
      </c>
      <c r="C40" s="24">
        <v>0</v>
      </c>
      <c r="D40" s="33">
        <f>(D13/1000*B40)+C40</f>
        <v>1713.768</v>
      </c>
      <c r="E40" s="117">
        <f>IF(OR(H39="",H39=0),"",E39+1)</f>
        <v>2</v>
      </c>
      <c r="F40" s="118">
        <f t="shared" ref="F40:F58" si="4">IF(E40="","",$D$29/$D$30)</f>
        <v>1000</v>
      </c>
      <c r="G40" s="318">
        <f t="shared" ref="G40:G58" si="5">IF(E40="","",((H39*$D$31)))</f>
        <v>60</v>
      </c>
      <c r="H40" s="318">
        <f>IFERROR(ROUND(IF(E40="","",($H$38-SUM($F$38:F40))),2),"")</f>
        <v>3000</v>
      </c>
      <c r="I40" s="119"/>
      <c r="J40" s="120">
        <f>D25</f>
        <v>150</v>
      </c>
      <c r="K40" s="322">
        <f t="shared" ref="K40:K63" si="6">IFERROR(F40+G40+I40+J40,J40)</f>
        <v>1210</v>
      </c>
      <c r="L40" s="32">
        <f t="shared" ref="L40:L63" si="7">S40-K40</f>
        <v>435.21728000000007</v>
      </c>
      <c r="M40" s="21">
        <f t="shared" si="1"/>
        <v>-7165.8547200000003</v>
      </c>
      <c r="N40" s="21">
        <f>NPV(D22,L38:L40)</f>
        <v>-7165.8547200000003</v>
      </c>
      <c r="O40" s="24">
        <f t="shared" si="0"/>
        <v>1</v>
      </c>
      <c r="P40" s="33">
        <f t="shared" si="2"/>
        <v>107.1105</v>
      </c>
      <c r="Q40" s="33">
        <f t="shared" si="2"/>
        <v>0</v>
      </c>
      <c r="R40" s="43">
        <f>R39*(1+D27)</f>
        <v>15360</v>
      </c>
      <c r="S40" s="21">
        <f>R40*D23*P40/1000+R40*(1-D23)*D24/1000</f>
        <v>1645.2172800000001</v>
      </c>
      <c r="T40" s="64">
        <v>2</v>
      </c>
      <c r="U40" s="66">
        <f t="shared" si="3"/>
        <v>5090.5680000000002</v>
      </c>
      <c r="V40" s="66">
        <f>(V39+(D76+D77))</f>
        <v>9528.2000000000007</v>
      </c>
    </row>
    <row r="41" spans="1:22" ht="15.75" x14ac:dyDescent="0.25">
      <c r="A41" s="24">
        <v>3</v>
      </c>
      <c r="B41" s="33">
        <f>(1+D10)*B40</f>
        <v>108.181605</v>
      </c>
      <c r="C41" s="24">
        <v>0</v>
      </c>
      <c r="D41" s="33">
        <f>(D13/1000*B41)+C41</f>
        <v>1730.9056800000001</v>
      </c>
      <c r="E41" s="117">
        <f t="shared" ref="E41:E58" si="8">IF(OR(H40="",H40=0),"",E40+1)</f>
        <v>3</v>
      </c>
      <c r="F41" s="118">
        <f t="shared" si="4"/>
        <v>1000</v>
      </c>
      <c r="G41" s="318">
        <f t="shared" si="5"/>
        <v>45</v>
      </c>
      <c r="H41" s="318">
        <f>IFERROR(ROUND(IF(E41="","",($H$38-SUM($F$38:F41))),2),"")</f>
        <v>2000</v>
      </c>
      <c r="I41" s="119"/>
      <c r="J41" s="120">
        <f>D25</f>
        <v>150</v>
      </c>
      <c r="K41" s="322">
        <f t="shared" si="6"/>
        <v>1195</v>
      </c>
      <c r="L41" s="32">
        <f t="shared" si="7"/>
        <v>466.66945280000004</v>
      </c>
      <c r="M41" s="21">
        <f t="shared" si="1"/>
        <v>-6699.1852672000005</v>
      </c>
      <c r="N41" s="21">
        <f>NPV(D22,L38:L41)</f>
        <v>-6699.1852672000005</v>
      </c>
      <c r="O41" s="24">
        <f t="shared" si="0"/>
        <v>1</v>
      </c>
      <c r="P41" s="33">
        <f t="shared" si="2"/>
        <v>108.181605</v>
      </c>
      <c r="Q41" s="33">
        <f t="shared" si="2"/>
        <v>0</v>
      </c>
      <c r="R41" s="43">
        <f>R40*(1+D27)</f>
        <v>15360</v>
      </c>
      <c r="S41" s="21">
        <f>R41*D23*P41/1000+R41*(1-D23)*D24/1000</f>
        <v>1661.6694528</v>
      </c>
      <c r="T41" s="64">
        <v>3</v>
      </c>
      <c r="U41" s="66">
        <f t="shared" si="3"/>
        <v>6821.4736800000001</v>
      </c>
      <c r="V41" s="66">
        <f>(V40+(D76+D77))</f>
        <v>10289.800000000001</v>
      </c>
    </row>
    <row r="42" spans="1:22" ht="15.75" x14ac:dyDescent="0.25">
      <c r="A42" s="24">
        <v>4</v>
      </c>
      <c r="B42" s="33">
        <f>(1+D10)*B41</f>
        <v>109.26342105000001</v>
      </c>
      <c r="C42" s="24">
        <v>0</v>
      </c>
      <c r="D42" s="33">
        <f>(D13/1000*B42)+C42</f>
        <v>1748.2147368000001</v>
      </c>
      <c r="E42" s="117">
        <f t="shared" si="8"/>
        <v>4</v>
      </c>
      <c r="F42" s="118">
        <f t="shared" si="4"/>
        <v>1000</v>
      </c>
      <c r="G42" s="318">
        <f t="shared" si="5"/>
        <v>30</v>
      </c>
      <c r="H42" s="318">
        <f>IFERROR(ROUND(IF(E42="","",($H$38-SUM($F$38:F42))),2),"")</f>
        <v>1000</v>
      </c>
      <c r="I42" s="119"/>
      <c r="J42" s="120">
        <f>D25</f>
        <v>150</v>
      </c>
      <c r="K42" s="322">
        <f t="shared" si="6"/>
        <v>1180</v>
      </c>
      <c r="L42" s="32">
        <f t="shared" si="7"/>
        <v>498.28614732799997</v>
      </c>
      <c r="M42" s="69">
        <f t="shared" si="1"/>
        <v>-6200.8991198720005</v>
      </c>
      <c r="N42" s="21">
        <f>NPV(D22,L38:L42)</f>
        <v>-6200.8991198720005</v>
      </c>
      <c r="O42" s="24">
        <f t="shared" si="0"/>
        <v>1</v>
      </c>
      <c r="P42" s="33">
        <f t="shared" si="2"/>
        <v>109.26342105000001</v>
      </c>
      <c r="Q42" s="33">
        <f t="shared" si="2"/>
        <v>0</v>
      </c>
      <c r="R42" s="43">
        <f>R41*(1+D27)</f>
        <v>15360</v>
      </c>
      <c r="S42" s="21">
        <f>R42*D23*P42/1000+R42*(1-D23)*D24/1000</f>
        <v>1678.286147328</v>
      </c>
      <c r="T42" s="64">
        <v>4</v>
      </c>
      <c r="U42" s="66">
        <f t="shared" si="3"/>
        <v>8569.6884167999997</v>
      </c>
      <c r="V42" s="66">
        <f>(V41+(D76+D77))</f>
        <v>11051.400000000001</v>
      </c>
    </row>
    <row r="43" spans="1:22" ht="15.75" x14ac:dyDescent="0.25">
      <c r="A43" s="24">
        <v>5</v>
      </c>
      <c r="B43" s="33">
        <f>(1+D10)*B42</f>
        <v>110.3560552605</v>
      </c>
      <c r="C43" s="24">
        <v>0</v>
      </c>
      <c r="D43" s="33">
        <f>(D13/1000*B43)+C43</f>
        <v>1765.696884168</v>
      </c>
      <c r="E43" s="117">
        <f t="shared" si="8"/>
        <v>5</v>
      </c>
      <c r="F43" s="118">
        <f t="shared" si="4"/>
        <v>1000</v>
      </c>
      <c r="G43" s="318">
        <f t="shared" si="5"/>
        <v>15</v>
      </c>
      <c r="H43" s="318">
        <f>IFERROR(ROUND(IF(E43="","",($H$38-SUM($F$38:F43))),2),"")</f>
        <v>0</v>
      </c>
      <c r="I43" s="119"/>
      <c r="J43" s="120">
        <f>D25</f>
        <v>150</v>
      </c>
      <c r="K43" s="322">
        <f t="shared" si="6"/>
        <v>1165</v>
      </c>
      <c r="L43" s="32">
        <f t="shared" si="7"/>
        <v>530.06900880128001</v>
      </c>
      <c r="M43" s="70">
        <f t="shared" si="1"/>
        <v>-5670.8301110707207</v>
      </c>
      <c r="N43" s="21">
        <f>NPV(D22,L38:L43)</f>
        <v>-5670.8301110707207</v>
      </c>
      <c r="O43" s="24">
        <f t="shared" si="0"/>
        <v>1</v>
      </c>
      <c r="P43" s="33">
        <f t="shared" si="2"/>
        <v>110.3560552605</v>
      </c>
      <c r="Q43" s="33">
        <f t="shared" si="2"/>
        <v>0</v>
      </c>
      <c r="R43" s="43">
        <f>R42*(1+D27)</f>
        <v>15360</v>
      </c>
      <c r="S43" s="21">
        <f>R43*D23*P43/1000+R43*(1-D23)*D24/1000</f>
        <v>1695.06900880128</v>
      </c>
      <c r="T43" s="64">
        <v>5</v>
      </c>
      <c r="U43" s="66">
        <f t="shared" si="3"/>
        <v>10335.385300967999</v>
      </c>
      <c r="V43" s="66">
        <f>(V42+(D76+D77))</f>
        <v>11813.000000000002</v>
      </c>
    </row>
    <row r="44" spans="1:22" ht="15.75" x14ac:dyDescent="0.25">
      <c r="A44" s="24">
        <v>6</v>
      </c>
      <c r="B44" s="33">
        <f>(1+D10)*B43</f>
        <v>111.459615813105</v>
      </c>
      <c r="C44" s="24">
        <v>0</v>
      </c>
      <c r="D44" s="33">
        <f>(D13/1000*B44)+C44</f>
        <v>1783.3538530096801</v>
      </c>
      <c r="E44" s="117" t="str">
        <f t="shared" si="8"/>
        <v/>
      </c>
      <c r="F44" s="118" t="str">
        <f t="shared" si="4"/>
        <v/>
      </c>
      <c r="G44" s="318" t="str">
        <f t="shared" si="5"/>
        <v/>
      </c>
      <c r="H44" s="318" t="str">
        <f>IFERROR(ROUND(IF(E44="","",($H$38-SUM($F$38:F44))),2),"")</f>
        <v/>
      </c>
      <c r="I44" s="119"/>
      <c r="J44" s="120">
        <f>D25</f>
        <v>150</v>
      </c>
      <c r="K44" s="322">
        <f t="shared" si="6"/>
        <v>150</v>
      </c>
      <c r="L44" s="32">
        <f t="shared" si="7"/>
        <v>1562.0196988892928</v>
      </c>
      <c r="M44" s="70">
        <f t="shared" si="1"/>
        <v>-4108.8104121814276</v>
      </c>
      <c r="N44" s="21">
        <f>NPV(D22,L38:L44)</f>
        <v>-4108.8104121814276</v>
      </c>
      <c r="O44" s="67">
        <f t="shared" si="0"/>
        <v>1</v>
      </c>
      <c r="P44" s="33">
        <f t="shared" si="2"/>
        <v>111.459615813105</v>
      </c>
      <c r="Q44" s="33">
        <f t="shared" si="2"/>
        <v>0</v>
      </c>
      <c r="R44" s="43">
        <f>R43*(1+D27)</f>
        <v>15360</v>
      </c>
      <c r="S44" s="21">
        <f>R44*D23*P44/1000+R44*(1-D23)*D24/1000</f>
        <v>1712.0196988892928</v>
      </c>
      <c r="T44" s="64">
        <v>6</v>
      </c>
      <c r="U44" s="66">
        <f t="shared" si="3"/>
        <v>12118.739153977678</v>
      </c>
      <c r="V44" s="66">
        <f>(V43+(D76+D77))</f>
        <v>12574.600000000002</v>
      </c>
    </row>
    <row r="45" spans="1:22" ht="15.75" x14ac:dyDescent="0.25">
      <c r="A45" s="24">
        <v>7</v>
      </c>
      <c r="B45" s="33">
        <f>(1+D10)*B44</f>
        <v>112.57421197123605</v>
      </c>
      <c r="C45" s="24">
        <v>0</v>
      </c>
      <c r="D45" s="33">
        <f>(D13/1000*B45)+C45</f>
        <v>1801.1873915397769</v>
      </c>
      <c r="E45" s="117" t="str">
        <f t="shared" si="8"/>
        <v/>
      </c>
      <c r="F45" s="118" t="str">
        <f t="shared" si="4"/>
        <v/>
      </c>
      <c r="G45" s="318" t="str">
        <f t="shared" si="5"/>
        <v/>
      </c>
      <c r="H45" s="318" t="str">
        <f>IFERROR(ROUND(IF(E45="","",($H$38-SUM($F$38:F45))),2),"")</f>
        <v/>
      </c>
      <c r="I45" s="119"/>
      <c r="J45" s="120">
        <f>D25</f>
        <v>150</v>
      </c>
      <c r="K45" s="322">
        <f t="shared" si="6"/>
        <v>150</v>
      </c>
      <c r="L45" s="32">
        <f t="shared" si="7"/>
        <v>1579.1398958781858</v>
      </c>
      <c r="M45" s="70">
        <f t="shared" si="1"/>
        <v>-2529.670516303242</v>
      </c>
      <c r="N45" s="21">
        <f>NPV(D22,L38:L45)</f>
        <v>-2529.670516303242</v>
      </c>
      <c r="O45" s="67">
        <f t="shared" si="0"/>
        <v>1</v>
      </c>
      <c r="P45" s="33">
        <f t="shared" si="2"/>
        <v>112.57421197123605</v>
      </c>
      <c r="Q45" s="33">
        <f t="shared" si="2"/>
        <v>0</v>
      </c>
      <c r="R45" s="43">
        <f>R44*(1+D27)</f>
        <v>15360</v>
      </c>
      <c r="S45" s="21">
        <f>R45*D23*P45/1000+R45*(1-D23)*D24/1000</f>
        <v>1729.1398958781858</v>
      </c>
      <c r="T45" s="64">
        <v>7</v>
      </c>
      <c r="U45" s="66">
        <f t="shared" si="3"/>
        <v>13919.926545517455</v>
      </c>
      <c r="V45" s="66">
        <f>(V44+(D76+D77))</f>
        <v>13336.200000000003</v>
      </c>
    </row>
    <row r="46" spans="1:22" ht="15.75" x14ac:dyDescent="0.25">
      <c r="A46" s="24">
        <v>8</v>
      </c>
      <c r="B46" s="33">
        <f>(1+D10)*B45</f>
        <v>113.69995409094841</v>
      </c>
      <c r="C46" s="24">
        <v>0</v>
      </c>
      <c r="D46" s="33">
        <f>(D13/1000*B46)+C46</f>
        <v>1819.1992654551746</v>
      </c>
      <c r="E46" s="117" t="str">
        <f t="shared" si="8"/>
        <v/>
      </c>
      <c r="F46" s="118" t="str">
        <f t="shared" si="4"/>
        <v/>
      </c>
      <c r="G46" s="318" t="str">
        <f t="shared" si="5"/>
        <v/>
      </c>
      <c r="H46" s="318" t="str">
        <f>IFERROR(ROUND(IF(E46="","",($H$38-SUM($F$38:F46))),2),"")</f>
        <v/>
      </c>
      <c r="I46" s="119"/>
      <c r="J46" s="120">
        <f>D25</f>
        <v>150</v>
      </c>
      <c r="K46" s="322">
        <f t="shared" si="6"/>
        <v>150</v>
      </c>
      <c r="L46" s="32">
        <f t="shared" si="7"/>
        <v>1596.4312948369675</v>
      </c>
      <c r="M46" s="70">
        <f t="shared" si="1"/>
        <v>-933.23922146627456</v>
      </c>
      <c r="N46" s="21">
        <f>NPV(D22,L38:L46)</f>
        <v>-933.23922146627456</v>
      </c>
      <c r="O46" s="67">
        <f t="shared" si="0"/>
        <v>1</v>
      </c>
      <c r="P46" s="33">
        <f t="shared" si="2"/>
        <v>113.69995409094841</v>
      </c>
      <c r="Q46" s="33">
        <f t="shared" si="2"/>
        <v>0</v>
      </c>
      <c r="R46" s="43">
        <f>R45*(1+D27)</f>
        <v>15360</v>
      </c>
      <c r="S46" s="21">
        <f>R46*D23*P46/1000+R46*(1-D23)*D24/1000</f>
        <v>1746.4312948369675</v>
      </c>
      <c r="T46" s="64">
        <v>8</v>
      </c>
      <c r="U46" s="66">
        <f t="shared" si="3"/>
        <v>15739.12581097263</v>
      </c>
      <c r="V46" s="66">
        <f>(V45+(D76+D77))</f>
        <v>14097.800000000003</v>
      </c>
    </row>
    <row r="47" spans="1:22" ht="15.75" x14ac:dyDescent="0.25">
      <c r="A47" s="24">
        <v>9</v>
      </c>
      <c r="B47" s="33">
        <f>(1+D10)*B46</f>
        <v>114.8369536318579</v>
      </c>
      <c r="C47" s="24">
        <v>0</v>
      </c>
      <c r="D47" s="33">
        <f>(D13/1000*B47)+C47</f>
        <v>1837.3912581097263</v>
      </c>
      <c r="E47" s="117" t="str">
        <f t="shared" si="8"/>
        <v/>
      </c>
      <c r="F47" s="118" t="str">
        <f t="shared" si="4"/>
        <v/>
      </c>
      <c r="G47" s="318" t="str">
        <f t="shared" si="5"/>
        <v/>
      </c>
      <c r="H47" s="318" t="str">
        <f>IFERROR(ROUND(IF(E47="","",($H$38-SUM($F$38:F47))),2),"")</f>
        <v/>
      </c>
      <c r="I47" s="119"/>
      <c r="J47" s="120">
        <f>D25</f>
        <v>150</v>
      </c>
      <c r="K47" s="322">
        <f t="shared" si="6"/>
        <v>150</v>
      </c>
      <c r="L47" s="32">
        <f t="shared" si="7"/>
        <v>1613.8956077853375</v>
      </c>
      <c r="M47" s="70">
        <f t="shared" si="1"/>
        <v>680.6563863190629</v>
      </c>
      <c r="N47" s="21">
        <f>NPV(D22,L38:L47)</f>
        <v>680.6563863190629</v>
      </c>
      <c r="O47" s="67">
        <f t="shared" si="0"/>
        <v>0</v>
      </c>
      <c r="P47" s="33">
        <f t="shared" si="2"/>
        <v>114.8369536318579</v>
      </c>
      <c r="Q47" s="33">
        <f t="shared" si="2"/>
        <v>0</v>
      </c>
      <c r="R47" s="43">
        <f>R46*(1+D27)</f>
        <v>15360</v>
      </c>
      <c r="S47" s="21">
        <f>R47*D23*P47/1000+R47*(1-D23)*D24/1000</f>
        <v>1763.8956077853375</v>
      </c>
      <c r="T47" s="64">
        <v>9</v>
      </c>
      <c r="U47" s="66">
        <f t="shared" si="3"/>
        <v>17576.517069082354</v>
      </c>
      <c r="V47" s="66">
        <f>(V46+(D76+D77))</f>
        <v>14859.400000000003</v>
      </c>
    </row>
    <row r="48" spans="1:22" ht="15.75" x14ac:dyDescent="0.25">
      <c r="A48" s="24">
        <v>10</v>
      </c>
      <c r="B48" s="33">
        <f>(1+D10)*B47</f>
        <v>115.98532316817648</v>
      </c>
      <c r="C48" s="24">
        <v>0</v>
      </c>
      <c r="D48" s="33">
        <f>(D13/1000*B48)+C48</f>
        <v>1855.7651706908237</v>
      </c>
      <c r="E48" s="117" t="str">
        <f t="shared" si="8"/>
        <v/>
      </c>
      <c r="F48" s="118" t="str">
        <f t="shared" si="4"/>
        <v/>
      </c>
      <c r="G48" s="318" t="str">
        <f t="shared" si="5"/>
        <v/>
      </c>
      <c r="H48" s="318" t="str">
        <f>IFERROR(ROUND(IF(E48="","",($H$38-SUM($F$38:F48))),2),"")</f>
        <v/>
      </c>
      <c r="I48" s="119"/>
      <c r="J48" s="120">
        <f>D25</f>
        <v>150</v>
      </c>
      <c r="K48" s="322">
        <f t="shared" si="6"/>
        <v>150</v>
      </c>
      <c r="L48" s="32">
        <f t="shared" si="7"/>
        <v>1631.5345638631909</v>
      </c>
      <c r="M48" s="70">
        <f t="shared" si="1"/>
        <v>2312.1909501822538</v>
      </c>
      <c r="N48" s="21">
        <f>NPV(D22,L38:L48)</f>
        <v>2312.1909501822538</v>
      </c>
      <c r="O48" s="67">
        <f t="shared" si="0"/>
        <v>0</v>
      </c>
      <c r="P48" s="33">
        <f t="shared" si="2"/>
        <v>115.98532316817648</v>
      </c>
      <c r="Q48" s="33">
        <f t="shared" si="2"/>
        <v>0</v>
      </c>
      <c r="R48" s="43">
        <f>R47*(1+D27)</f>
        <v>15360</v>
      </c>
      <c r="S48" s="21">
        <f>R48*D23*P48/1000+R48*(1-D23)*D24/1000</f>
        <v>1781.5345638631909</v>
      </c>
      <c r="T48" s="64">
        <v>10</v>
      </c>
      <c r="U48" s="66">
        <f t="shared" si="3"/>
        <v>19432.28223977318</v>
      </c>
      <c r="V48" s="66">
        <f>(V47+(D76+D77))</f>
        <v>15621.000000000004</v>
      </c>
    </row>
    <row r="49" spans="1:22" ht="15.75" x14ac:dyDescent="0.25">
      <c r="A49" s="24">
        <v>11</v>
      </c>
      <c r="B49" s="33">
        <f>(1+D10)*B48</f>
        <v>117.14517639985824</v>
      </c>
      <c r="C49" s="24">
        <v>0</v>
      </c>
      <c r="D49" s="33">
        <f>(D13/1000*B49)+C49</f>
        <v>1874.3228223977319</v>
      </c>
      <c r="E49" s="117" t="str">
        <f t="shared" si="8"/>
        <v/>
      </c>
      <c r="F49" s="118" t="str">
        <f t="shared" si="4"/>
        <v/>
      </c>
      <c r="G49" s="318" t="str">
        <f t="shared" si="5"/>
        <v/>
      </c>
      <c r="H49" s="318" t="str">
        <f>IFERROR(ROUND(IF(E49="","",($H$38-SUM($F$38:F49))),2),"")</f>
        <v/>
      </c>
      <c r="I49" s="119"/>
      <c r="J49" s="120">
        <f>D25</f>
        <v>150</v>
      </c>
      <c r="K49" s="322">
        <f t="shared" si="6"/>
        <v>150</v>
      </c>
      <c r="L49" s="32">
        <f t="shared" si="7"/>
        <v>1649.3499095018226</v>
      </c>
      <c r="M49" s="70">
        <f t="shared" si="1"/>
        <v>3961.5408596840762</v>
      </c>
      <c r="N49" s="21">
        <f>NPV(D22,L38:L49)</f>
        <v>3961.5408596840762</v>
      </c>
      <c r="O49" s="67">
        <f t="shared" si="0"/>
        <v>0</v>
      </c>
      <c r="P49" s="33">
        <f t="shared" si="2"/>
        <v>117.14517639985824</v>
      </c>
      <c r="Q49" s="33">
        <f t="shared" si="2"/>
        <v>0</v>
      </c>
      <c r="R49" s="43">
        <f>R48*(1+D27)</f>
        <v>15360</v>
      </c>
      <c r="S49" s="21">
        <f>R49*D23*P49/1000+R49*(1-D23)*D24/1000</f>
        <v>1799.3499095018226</v>
      </c>
      <c r="T49" s="64">
        <v>11</v>
      </c>
      <c r="U49" s="66">
        <f t="shared" si="3"/>
        <v>21306.605062170911</v>
      </c>
      <c r="V49" s="66">
        <f>(V48+(D76+D77))</f>
        <v>16382.600000000004</v>
      </c>
    </row>
    <row r="50" spans="1:22" ht="15.75" x14ac:dyDescent="0.25">
      <c r="A50" s="24">
        <v>12</v>
      </c>
      <c r="B50" s="33">
        <f>(1+D10)*B49</f>
        <v>118.31662816385683</v>
      </c>
      <c r="C50" s="24">
        <v>0</v>
      </c>
      <c r="D50" s="33">
        <f>(D13/1000*B50)+C50</f>
        <v>1893.0660506217093</v>
      </c>
      <c r="E50" s="117" t="str">
        <f t="shared" si="8"/>
        <v/>
      </c>
      <c r="F50" s="118" t="str">
        <f t="shared" si="4"/>
        <v/>
      </c>
      <c r="G50" s="318" t="str">
        <f t="shared" si="5"/>
        <v/>
      </c>
      <c r="H50" s="318" t="str">
        <f>IFERROR(ROUND(IF(E50="","",($H$38-SUM($F$38:F50))),2),"")</f>
        <v/>
      </c>
      <c r="I50" s="119"/>
      <c r="J50" s="120">
        <f>D25</f>
        <v>150</v>
      </c>
      <c r="K50" s="322">
        <f t="shared" si="6"/>
        <v>150</v>
      </c>
      <c r="L50" s="32">
        <f t="shared" si="7"/>
        <v>1667.3434085968408</v>
      </c>
      <c r="M50" s="70">
        <f t="shared" si="1"/>
        <v>5628.8842682809172</v>
      </c>
      <c r="N50" s="21">
        <f>NPV(D22,L38:L50)</f>
        <v>5628.8842682809172</v>
      </c>
      <c r="O50" s="67">
        <f t="shared" si="0"/>
        <v>0</v>
      </c>
      <c r="P50" s="33">
        <f t="shared" si="2"/>
        <v>118.31662816385683</v>
      </c>
      <c r="Q50" s="33">
        <f t="shared" si="2"/>
        <v>0</v>
      </c>
      <c r="R50" s="43">
        <f>R49*(1+D27)</f>
        <v>15360</v>
      </c>
      <c r="S50" s="21">
        <f>R50*D23*P50/1000+R50*(1-D23)*D24/1000</f>
        <v>1817.3434085968408</v>
      </c>
      <c r="T50" s="64">
        <v>12</v>
      </c>
      <c r="U50" s="66">
        <f t="shared" si="3"/>
        <v>23199.671112792621</v>
      </c>
      <c r="V50" s="66">
        <f>(V49+(D76+D77))</f>
        <v>17144.200000000004</v>
      </c>
    </row>
    <row r="51" spans="1:22" ht="15.75" x14ac:dyDescent="0.25">
      <c r="A51" s="24">
        <v>13</v>
      </c>
      <c r="B51" s="33">
        <f>(1+D10)*B50</f>
        <v>119.4997944454954</v>
      </c>
      <c r="C51" s="24">
        <v>0</v>
      </c>
      <c r="D51" s="33">
        <f>(D13/1000*B51)+C51</f>
        <v>1911.9967111279263</v>
      </c>
      <c r="E51" s="117" t="str">
        <f t="shared" si="8"/>
        <v/>
      </c>
      <c r="F51" s="118" t="str">
        <f t="shared" si="4"/>
        <v/>
      </c>
      <c r="G51" s="318" t="str">
        <f t="shared" si="5"/>
        <v/>
      </c>
      <c r="H51" s="318" t="str">
        <f>IFERROR(ROUND(IF(E51="","",($H$38-SUM($F$38:F51))),2),"")</f>
        <v/>
      </c>
      <c r="I51" s="119"/>
      <c r="J51" s="120">
        <f>D25</f>
        <v>150</v>
      </c>
      <c r="K51" s="322">
        <f t="shared" si="6"/>
        <v>150</v>
      </c>
      <c r="L51" s="32">
        <f t="shared" si="7"/>
        <v>1685.5168426828093</v>
      </c>
      <c r="M51" s="70">
        <f t="shared" si="1"/>
        <v>7314.4011109637268</v>
      </c>
      <c r="N51" s="21">
        <f>NPV(D22,L38:L51)</f>
        <v>7314.4011109637268</v>
      </c>
      <c r="O51" s="67">
        <f t="shared" si="0"/>
        <v>0</v>
      </c>
      <c r="P51" s="33">
        <f t="shared" si="2"/>
        <v>119.4997944454954</v>
      </c>
      <c r="Q51" s="33">
        <f t="shared" si="2"/>
        <v>0</v>
      </c>
      <c r="R51" s="43">
        <f>R50*(1+D27)</f>
        <v>15360</v>
      </c>
      <c r="S51" s="21">
        <f>R51*D23*P51/1000+R51*(1-D23)*D24/1000</f>
        <v>1835.5168426828093</v>
      </c>
      <c r="T51" s="64">
        <v>13</v>
      </c>
      <c r="U51" s="66">
        <f t="shared" si="3"/>
        <v>25111.667823920547</v>
      </c>
      <c r="V51" s="66">
        <f>(V50+(D76+D77))</f>
        <v>17905.800000000003</v>
      </c>
    </row>
    <row r="52" spans="1:22" ht="15.75" x14ac:dyDescent="0.25">
      <c r="A52" s="24">
        <v>14</v>
      </c>
      <c r="B52" s="33">
        <f>(1+D10)*B51</f>
        <v>120.69479238995035</v>
      </c>
      <c r="C52" s="24">
        <v>0</v>
      </c>
      <c r="D52" s="33">
        <f>(D13/1000*B52)+C52</f>
        <v>1931.1166782392056</v>
      </c>
      <c r="E52" s="117" t="str">
        <f t="shared" si="8"/>
        <v/>
      </c>
      <c r="F52" s="118" t="str">
        <f t="shared" si="4"/>
        <v/>
      </c>
      <c r="G52" s="318" t="str">
        <f t="shared" si="5"/>
        <v/>
      </c>
      <c r="H52" s="318" t="str">
        <f>IFERROR(ROUND(IF(E52="","",($H$38-SUM($F$38:F52))),2),"")</f>
        <v/>
      </c>
      <c r="I52" s="119"/>
      <c r="J52" s="120">
        <f>D25</f>
        <v>150</v>
      </c>
      <c r="K52" s="322">
        <f t="shared" si="6"/>
        <v>150</v>
      </c>
      <c r="L52" s="32">
        <f t="shared" si="7"/>
        <v>1703.8720111096372</v>
      </c>
      <c r="M52" s="70">
        <f t="shared" si="1"/>
        <v>9018.273122073364</v>
      </c>
      <c r="N52" s="21">
        <f>NPV(D22,L38:L52)</f>
        <v>9018.273122073364</v>
      </c>
      <c r="O52" s="67">
        <f t="shared" si="0"/>
        <v>0</v>
      </c>
      <c r="P52" s="33">
        <f t="shared" si="2"/>
        <v>120.69479238995035</v>
      </c>
      <c r="Q52" s="33">
        <f t="shared" si="2"/>
        <v>0</v>
      </c>
      <c r="R52" s="43">
        <f>R51*(1+D27)</f>
        <v>15360</v>
      </c>
      <c r="S52" s="21">
        <f>R52*D23*P52/1000+R52*(1-D23)*D24/1000</f>
        <v>1853.8720111096372</v>
      </c>
      <c r="T52" s="64">
        <v>14</v>
      </c>
      <c r="U52" s="66">
        <f t="shared" si="3"/>
        <v>27042.784502159753</v>
      </c>
      <c r="V52" s="66">
        <f>(V51+(D76+D77))</f>
        <v>18667.400000000001</v>
      </c>
    </row>
    <row r="53" spans="1:22" ht="15.75" x14ac:dyDescent="0.25">
      <c r="A53" s="24">
        <v>15</v>
      </c>
      <c r="B53" s="33">
        <f>(1+D10)*B52</f>
        <v>121.90174031384986</v>
      </c>
      <c r="C53" s="24">
        <v>0</v>
      </c>
      <c r="D53" s="33">
        <f>(D13/1000*B53)+C53</f>
        <v>1950.4278450215977</v>
      </c>
      <c r="E53" s="117" t="str">
        <f t="shared" si="8"/>
        <v/>
      </c>
      <c r="F53" s="118" t="str">
        <f t="shared" si="4"/>
        <v/>
      </c>
      <c r="G53" s="318" t="str">
        <f t="shared" si="5"/>
        <v/>
      </c>
      <c r="H53" s="318" t="str">
        <f>IFERROR(ROUND(IF(E53="","",($H$38-SUM($F$38:F53))),2),"")</f>
        <v/>
      </c>
      <c r="I53" s="119"/>
      <c r="J53" s="120">
        <f>D25</f>
        <v>150</v>
      </c>
      <c r="K53" s="322">
        <f t="shared" si="6"/>
        <v>150</v>
      </c>
      <c r="L53" s="32">
        <f t="shared" si="7"/>
        <v>1722.4107312207339</v>
      </c>
      <c r="M53" s="70">
        <f t="shared" si="1"/>
        <v>10740.683853294098</v>
      </c>
      <c r="N53" s="21">
        <f>NPV(D22,L38:L53)</f>
        <v>10740.683853294098</v>
      </c>
      <c r="O53" s="67">
        <f t="shared" si="0"/>
        <v>0</v>
      </c>
      <c r="P53" s="33">
        <f t="shared" si="2"/>
        <v>121.90174031384986</v>
      </c>
      <c r="Q53" s="33">
        <f t="shared" si="2"/>
        <v>0</v>
      </c>
      <c r="R53" s="43">
        <f>R52*(1+D27)</f>
        <v>15360</v>
      </c>
      <c r="S53" s="21">
        <f>R53*D23*P53/1000+R53*(1-D23)*D24/1000</f>
        <v>1872.4107312207339</v>
      </c>
      <c r="T53" s="64">
        <v>15</v>
      </c>
      <c r="U53" s="66">
        <f t="shared" si="3"/>
        <v>28993.21234718135</v>
      </c>
      <c r="V53" s="66">
        <f>(V52+(D76+D77))</f>
        <v>19429</v>
      </c>
    </row>
    <row r="54" spans="1:22" ht="15.75" x14ac:dyDescent="0.25">
      <c r="A54" s="24">
        <v>16</v>
      </c>
      <c r="B54" s="33">
        <f>(1+D10)*B53</f>
        <v>123.12075771698835</v>
      </c>
      <c r="C54" s="24">
        <v>0</v>
      </c>
      <c r="D54" s="33">
        <f>(D13/1000*B54)+C54</f>
        <v>1969.9321234718136</v>
      </c>
      <c r="E54" s="117" t="str">
        <f t="shared" si="8"/>
        <v/>
      </c>
      <c r="F54" s="118" t="str">
        <f t="shared" si="4"/>
        <v/>
      </c>
      <c r="G54" s="318" t="str">
        <f t="shared" si="5"/>
        <v/>
      </c>
      <c r="H54" s="318" t="str">
        <f>IFERROR(ROUND(IF(E54="","",($H$38-SUM($F$38:F54))),2),"")</f>
        <v/>
      </c>
      <c r="I54" s="119"/>
      <c r="J54" s="120">
        <f>D25</f>
        <v>150</v>
      </c>
      <c r="K54" s="322">
        <f t="shared" si="6"/>
        <v>150</v>
      </c>
      <c r="L54" s="32">
        <f t="shared" si="7"/>
        <v>1741.1348385329409</v>
      </c>
      <c r="M54" s="70">
        <f t="shared" si="1"/>
        <v>12481.818691827038</v>
      </c>
      <c r="N54" s="21">
        <f>NPV(D22,L38:L54)</f>
        <v>12481.818691827038</v>
      </c>
      <c r="O54" s="67">
        <f t="shared" si="0"/>
        <v>0</v>
      </c>
      <c r="P54" s="33">
        <f t="shared" si="2"/>
        <v>123.12075771698835</v>
      </c>
      <c r="Q54" s="33">
        <f t="shared" si="2"/>
        <v>0</v>
      </c>
      <c r="R54" s="43">
        <f>R53*(1+D27)</f>
        <v>15360</v>
      </c>
      <c r="S54" s="21">
        <f>R54*D23*P54/1000+R54*(1-D23)*D24/1000</f>
        <v>1891.1348385329409</v>
      </c>
      <c r="T54" s="64">
        <v>16</v>
      </c>
      <c r="U54" s="66">
        <f t="shared" si="3"/>
        <v>30963.144470653162</v>
      </c>
      <c r="V54" s="66">
        <f>(V53+(D76+D77))</f>
        <v>20190.599999999999</v>
      </c>
    </row>
    <row r="55" spans="1:22" ht="15.75" x14ac:dyDescent="0.25">
      <c r="A55" s="24">
        <v>17</v>
      </c>
      <c r="B55" s="33">
        <f>(1+D10)*B54</f>
        <v>124.35196529415823</v>
      </c>
      <c r="C55" s="24">
        <v>0</v>
      </c>
      <c r="D55" s="33">
        <f>(D13/1000*B55)+C55</f>
        <v>1989.6314447065317</v>
      </c>
      <c r="E55" s="117" t="str">
        <f t="shared" si="8"/>
        <v/>
      </c>
      <c r="F55" s="118" t="str">
        <f t="shared" si="4"/>
        <v/>
      </c>
      <c r="G55" s="318" t="str">
        <f t="shared" si="5"/>
        <v/>
      </c>
      <c r="H55" s="318" t="str">
        <f>IFERROR(ROUND(IF(E55="","",($H$38-SUM($F$38:F55))),2),"")</f>
        <v/>
      </c>
      <c r="I55" s="119"/>
      <c r="J55" s="120">
        <f>D25</f>
        <v>150</v>
      </c>
      <c r="K55" s="322">
        <f t="shared" si="6"/>
        <v>150</v>
      </c>
      <c r="L55" s="32">
        <f t="shared" si="7"/>
        <v>1760.0461869182705</v>
      </c>
      <c r="M55" s="70">
        <f t="shared" si="1"/>
        <v>14241.864878745309</v>
      </c>
      <c r="N55" s="21">
        <f>NPV(D22,L38:L55)</f>
        <v>14241.864878745309</v>
      </c>
      <c r="O55" s="67">
        <f t="shared" si="0"/>
        <v>0</v>
      </c>
      <c r="P55" s="33">
        <f t="shared" ref="P55:Q56" si="9">(1+$D$10)*P54</f>
        <v>124.35196529415823</v>
      </c>
      <c r="Q55" s="33">
        <f t="shared" si="9"/>
        <v>0</v>
      </c>
      <c r="R55" s="43">
        <f>R54*(1+D27)</f>
        <v>15360</v>
      </c>
      <c r="S55" s="21">
        <f>R55*D23*P55/1000+R55*(1-D23)*D24/1000</f>
        <v>1910.0461869182705</v>
      </c>
      <c r="T55" s="64">
        <v>17</v>
      </c>
      <c r="U55" s="66">
        <f t="shared" si="3"/>
        <v>32952.775915359693</v>
      </c>
      <c r="V55" s="66">
        <f>(V54+(D76+D77))</f>
        <v>20952.199999999997</v>
      </c>
    </row>
    <row r="56" spans="1:22" ht="15.75" x14ac:dyDescent="0.25">
      <c r="A56" s="24">
        <v>18</v>
      </c>
      <c r="B56" s="33">
        <f>(1+D10)*B55</f>
        <v>125.59548494709982</v>
      </c>
      <c r="C56" s="24">
        <v>0</v>
      </c>
      <c r="D56" s="33">
        <f>(D13/1000*B56)+C56</f>
        <v>2009.5277591535971</v>
      </c>
      <c r="E56" s="117" t="str">
        <f t="shared" si="8"/>
        <v/>
      </c>
      <c r="F56" s="118" t="str">
        <f t="shared" si="4"/>
        <v/>
      </c>
      <c r="G56" s="318" t="str">
        <f t="shared" si="5"/>
        <v/>
      </c>
      <c r="H56" s="318" t="str">
        <f>IFERROR(ROUND(IF(E56="","",($H$38-SUM($F$38:F56))),2),"")</f>
        <v/>
      </c>
      <c r="I56" s="126"/>
      <c r="J56" s="127">
        <f>D25</f>
        <v>150</v>
      </c>
      <c r="K56" s="322">
        <f t="shared" si="6"/>
        <v>150</v>
      </c>
      <c r="L56" s="32">
        <f t="shared" si="7"/>
        <v>1779.1466487874534</v>
      </c>
      <c r="M56" s="70">
        <f t="shared" si="1"/>
        <v>16021.011527532763</v>
      </c>
      <c r="N56" s="21">
        <f>NPV(D22,L38:L56)</f>
        <v>16021.011527532763</v>
      </c>
      <c r="O56" s="67">
        <f t="shared" si="0"/>
        <v>0</v>
      </c>
      <c r="P56" s="33">
        <f t="shared" si="9"/>
        <v>125.59548494709982</v>
      </c>
      <c r="Q56" s="33">
        <f t="shared" si="9"/>
        <v>0</v>
      </c>
      <c r="R56" s="43">
        <f>R55*(1+D27)</f>
        <v>15360</v>
      </c>
      <c r="S56" s="21">
        <f>R56*D23*P56/1000+R56*(1-D23)*D24/1000</f>
        <v>1929.1466487874534</v>
      </c>
      <c r="T56" s="64">
        <v>18</v>
      </c>
      <c r="U56" s="66">
        <f t="shared" si="3"/>
        <v>34962.303674513292</v>
      </c>
      <c r="V56" s="66">
        <f>(V55+(D76+D77))</f>
        <v>21713.799999999996</v>
      </c>
    </row>
    <row r="57" spans="1:22" ht="15.75" x14ac:dyDescent="0.25">
      <c r="A57" s="24">
        <v>19</v>
      </c>
      <c r="B57" s="33">
        <f>(1+D10)*B56</f>
        <v>126.85143979657082</v>
      </c>
      <c r="C57" s="24">
        <v>0</v>
      </c>
      <c r="D57" s="33">
        <f>(D13/1000*B57)+C57</f>
        <v>2029.623036745133</v>
      </c>
      <c r="E57" s="117" t="str">
        <f t="shared" si="8"/>
        <v/>
      </c>
      <c r="F57" s="118" t="str">
        <f t="shared" si="4"/>
        <v/>
      </c>
      <c r="G57" s="318" t="str">
        <f t="shared" si="5"/>
        <v/>
      </c>
      <c r="H57" s="318" t="str">
        <f>IFERROR(ROUND(IF(E57="","",($H$38-SUM($F$38:F57))),2),"")</f>
        <v/>
      </c>
      <c r="I57" s="126"/>
      <c r="J57" s="127">
        <f>D25</f>
        <v>150</v>
      </c>
      <c r="K57" s="322">
        <f t="shared" si="6"/>
        <v>150</v>
      </c>
      <c r="L57" s="32">
        <f t="shared" si="7"/>
        <v>1798.4381152753278</v>
      </c>
      <c r="M57" s="70">
        <f t="shared" si="1"/>
        <v>17819.449642808089</v>
      </c>
      <c r="N57" s="21">
        <f>NPV(D22,L38:L57)</f>
        <v>17819.449642808089</v>
      </c>
      <c r="O57" s="67">
        <f t="shared" si="0"/>
        <v>0</v>
      </c>
      <c r="P57" s="33">
        <f>(1+$D$10)*P56</f>
        <v>126.85143979657082</v>
      </c>
      <c r="Q57" s="33">
        <f>(1+$D$10)*Q56</f>
        <v>0</v>
      </c>
      <c r="R57" s="43">
        <f>R56*(1+D27)</f>
        <v>15360</v>
      </c>
      <c r="S57" s="21">
        <f>R57*D23*P57/1000+R57*(1-D23)*D24/1000</f>
        <v>1948.4381152753278</v>
      </c>
      <c r="T57" s="64">
        <v>19</v>
      </c>
      <c r="U57" s="66">
        <f t="shared" si="3"/>
        <v>36991.926711258428</v>
      </c>
      <c r="V57" s="66">
        <f>(V56+(D76+D77))</f>
        <v>22475.399999999994</v>
      </c>
    </row>
    <row r="58" spans="1:22" ht="15.75" x14ac:dyDescent="0.25">
      <c r="A58" s="24">
        <v>20</v>
      </c>
      <c r="B58" s="33">
        <f>(1+D10)*B57</f>
        <v>128.11995419453652</v>
      </c>
      <c r="C58" s="24">
        <v>0</v>
      </c>
      <c r="D58" s="33">
        <f>(D13/1000*B58)+C58</f>
        <v>2049.9192671125843</v>
      </c>
      <c r="E58" s="117" t="str">
        <f t="shared" si="8"/>
        <v/>
      </c>
      <c r="F58" s="118" t="str">
        <f t="shared" si="4"/>
        <v/>
      </c>
      <c r="G58" s="318" t="str">
        <f t="shared" si="5"/>
        <v/>
      </c>
      <c r="H58" s="318" t="str">
        <f>IFERROR(ROUND(IF(E58="","",($H$38-SUM($F$38:F58))),2),"")</f>
        <v/>
      </c>
      <c r="I58" s="119"/>
      <c r="J58" s="120">
        <f>D25</f>
        <v>150</v>
      </c>
      <c r="K58" s="322">
        <f t="shared" si="6"/>
        <v>150</v>
      </c>
      <c r="L58" s="32">
        <f t="shared" si="7"/>
        <v>1817.9224964280809</v>
      </c>
      <c r="M58" s="70">
        <f t="shared" si="1"/>
        <v>19637.372139236169</v>
      </c>
      <c r="N58" s="21">
        <f>NPV(D22,L38:L58)</f>
        <v>19637.372139236169</v>
      </c>
      <c r="O58" s="67">
        <f t="shared" si="0"/>
        <v>0</v>
      </c>
      <c r="P58" s="33">
        <f t="shared" ref="P58:Q63" si="10">(1+$D$10)*P57</f>
        <v>128.11995419453652</v>
      </c>
      <c r="Q58" s="33">
        <f t="shared" si="10"/>
        <v>0</v>
      </c>
      <c r="R58" s="43">
        <f>R57*(1+D27)</f>
        <v>15360</v>
      </c>
      <c r="S58" s="21">
        <f>R58*D23*P58/1000+R58*(1-D23)*D24/1000</f>
        <v>1967.9224964280809</v>
      </c>
      <c r="T58" s="64">
        <v>20</v>
      </c>
      <c r="U58" s="66">
        <f t="shared" si="3"/>
        <v>39041.845978371013</v>
      </c>
      <c r="V58" s="66">
        <f>(V57+(D76+D77))</f>
        <v>23236.999999999993</v>
      </c>
    </row>
    <row r="59" spans="1:22" ht="15.75" x14ac:dyDescent="0.25">
      <c r="A59" s="24">
        <v>21</v>
      </c>
      <c r="B59" s="33">
        <f>(1+D10)*B58</f>
        <v>129.40115373648189</v>
      </c>
      <c r="C59" s="24">
        <v>0</v>
      </c>
      <c r="D59" s="33">
        <f>(D13/1000*B59)+C59</f>
        <v>2070.4184597837102</v>
      </c>
      <c r="E59" s="117"/>
      <c r="F59" s="118"/>
      <c r="G59" s="318" t="s">
        <v>4</v>
      </c>
      <c r="H59" s="318"/>
      <c r="I59" s="126"/>
      <c r="J59" s="127">
        <f>D25</f>
        <v>150</v>
      </c>
      <c r="K59" s="322">
        <f t="shared" si="6"/>
        <v>150</v>
      </c>
      <c r="L59" s="32">
        <f t="shared" si="7"/>
        <v>1837.6017213923619</v>
      </c>
      <c r="M59" s="70">
        <f t="shared" si="1"/>
        <v>21474.973860628532</v>
      </c>
      <c r="N59" s="21">
        <f>NPV(D22,L38:L59)</f>
        <v>21474.973860628532</v>
      </c>
      <c r="O59" s="67">
        <f t="shared" si="0"/>
        <v>0</v>
      </c>
      <c r="P59" s="33">
        <f t="shared" si="10"/>
        <v>129.40115373648189</v>
      </c>
      <c r="Q59" s="33">
        <f t="shared" si="10"/>
        <v>0</v>
      </c>
      <c r="R59" s="43">
        <f>R58*(1+D27)</f>
        <v>15360</v>
      </c>
      <c r="S59" s="21">
        <f>R59*D23*P59/1000+R59*(1-D23)*D24/1000</f>
        <v>1987.6017213923619</v>
      </c>
      <c r="T59" s="64">
        <v>21</v>
      </c>
      <c r="U59" s="66">
        <f t="shared" si="3"/>
        <v>41112.264438154722</v>
      </c>
      <c r="V59" s="66">
        <f>(V58+(D76+D77))</f>
        <v>23998.599999999991</v>
      </c>
    </row>
    <row r="60" spans="1:22" ht="15.75" x14ac:dyDescent="0.25">
      <c r="A60" s="24">
        <v>22</v>
      </c>
      <c r="B60" s="33">
        <f>(1+D10)*B59</f>
        <v>130.6951652738467</v>
      </c>
      <c r="C60" s="24">
        <v>0</v>
      </c>
      <c r="D60" s="33">
        <f>(D13/1000*B60)+C60</f>
        <v>2091.1226443815472</v>
      </c>
      <c r="E60" s="117"/>
      <c r="F60" s="118"/>
      <c r="G60" s="318" t="s">
        <v>4</v>
      </c>
      <c r="H60" s="318"/>
      <c r="I60" s="126"/>
      <c r="J60" s="127">
        <f>D25</f>
        <v>150</v>
      </c>
      <c r="K60" s="322">
        <f t="shared" si="6"/>
        <v>150</v>
      </c>
      <c r="L60" s="32">
        <f t="shared" si="7"/>
        <v>1857.4777386062854</v>
      </c>
      <c r="M60" s="70">
        <f t="shared" si="1"/>
        <v>23332.451599234817</v>
      </c>
      <c r="N60" s="21">
        <f>NPV(D22,L38:L60)</f>
        <v>23332.451599234817</v>
      </c>
      <c r="O60" s="67">
        <f t="shared" si="0"/>
        <v>0</v>
      </c>
      <c r="P60" s="33">
        <f t="shared" si="10"/>
        <v>130.6951652738467</v>
      </c>
      <c r="Q60" s="33">
        <f t="shared" si="10"/>
        <v>0</v>
      </c>
      <c r="R60" s="43">
        <f>R59*(1+D27)</f>
        <v>15360</v>
      </c>
      <c r="S60" s="21">
        <f>R60*D23*P60/1000+R60*(1-D23)*D24/1000</f>
        <v>2007.4777386062854</v>
      </c>
      <c r="T60" s="64">
        <v>22</v>
      </c>
      <c r="U60" s="66">
        <f t="shared" si="3"/>
        <v>43203.387082536268</v>
      </c>
      <c r="V60" s="66">
        <f>(V59+(D76+D77))</f>
        <v>24760.19999999999</v>
      </c>
    </row>
    <row r="61" spans="1:22" ht="15.75" x14ac:dyDescent="0.25">
      <c r="A61" s="24">
        <v>23</v>
      </c>
      <c r="B61" s="33">
        <f>(1+D10)*B60</f>
        <v>132.00211692658516</v>
      </c>
      <c r="C61" s="24">
        <v>0</v>
      </c>
      <c r="D61" s="33">
        <f>(D13/1000*B61)+C61</f>
        <v>2112.0338708253626</v>
      </c>
      <c r="E61" s="117"/>
      <c r="F61" s="136"/>
      <c r="G61" s="319" t="s">
        <v>4</v>
      </c>
      <c r="H61" s="318"/>
      <c r="I61" s="126"/>
      <c r="J61" s="127">
        <f>D25</f>
        <v>150</v>
      </c>
      <c r="K61" s="322">
        <f t="shared" si="6"/>
        <v>150</v>
      </c>
      <c r="L61" s="32">
        <f t="shared" si="7"/>
        <v>1877.5525159923482</v>
      </c>
      <c r="M61" s="70">
        <f t="shared" si="1"/>
        <v>25210.004115227166</v>
      </c>
      <c r="N61" s="21">
        <f>NPV(D22,L38:L61)</f>
        <v>25210.004115227166</v>
      </c>
      <c r="O61" s="67">
        <f t="shared" si="0"/>
        <v>0</v>
      </c>
      <c r="P61" s="33">
        <f t="shared" si="10"/>
        <v>132.00211692658516</v>
      </c>
      <c r="Q61" s="33">
        <f t="shared" si="10"/>
        <v>0</v>
      </c>
      <c r="R61" s="43">
        <f>R60*(1+D27)</f>
        <v>15360</v>
      </c>
      <c r="S61" s="21">
        <f>R61*D23*P61/1000+R61*(1-D23)*D24/1000</f>
        <v>2027.5525159923482</v>
      </c>
      <c r="T61" s="64">
        <v>23</v>
      </c>
      <c r="U61" s="66">
        <f t="shared" si="3"/>
        <v>45315.42095336163</v>
      </c>
      <c r="V61" s="66">
        <f>(V60+(D76+D77))</f>
        <v>25521.799999999988</v>
      </c>
    </row>
    <row r="62" spans="1:22" ht="15.75" x14ac:dyDescent="0.25">
      <c r="A62" s="24">
        <v>24</v>
      </c>
      <c r="B62" s="33">
        <f>(1+$D$10)*B61</f>
        <v>133.32213809585102</v>
      </c>
      <c r="C62" s="24">
        <v>0</v>
      </c>
      <c r="D62" s="137">
        <f>($D$13/1000*B62)+C62</f>
        <v>2133.1542095336163</v>
      </c>
      <c r="E62" s="138"/>
      <c r="F62" s="139"/>
      <c r="G62" s="320" t="s">
        <v>4</v>
      </c>
      <c r="H62" s="321"/>
      <c r="I62" s="126"/>
      <c r="J62" s="140">
        <f>D25</f>
        <v>150</v>
      </c>
      <c r="K62" s="322">
        <f t="shared" si="6"/>
        <v>150</v>
      </c>
      <c r="L62" s="32">
        <f t="shared" si="7"/>
        <v>1897.8280411522717</v>
      </c>
      <c r="M62" s="70">
        <f t="shared" si="1"/>
        <v>27107.832156379438</v>
      </c>
      <c r="N62" s="21">
        <f>NPV($D$22,$L$38:L62)</f>
        <v>27107.832156379438</v>
      </c>
      <c r="O62" s="67">
        <f t="shared" si="0"/>
        <v>0</v>
      </c>
      <c r="P62" s="33">
        <f t="shared" si="10"/>
        <v>133.32213809585102</v>
      </c>
      <c r="Q62" s="33">
        <f t="shared" si="10"/>
        <v>0</v>
      </c>
      <c r="R62" s="43">
        <f>R61*(1+$D$27)</f>
        <v>15360</v>
      </c>
      <c r="S62" s="21">
        <f>R62*D23*P62/1000+R62*(1-D23)*D24/1000</f>
        <v>2047.8280411522717</v>
      </c>
      <c r="T62" s="64">
        <v>24</v>
      </c>
      <c r="U62" s="66">
        <f t="shared" si="3"/>
        <v>47448.575162895249</v>
      </c>
      <c r="V62" s="66">
        <f>(V61+(D76+D77))</f>
        <v>26283.399999999987</v>
      </c>
    </row>
    <row r="63" spans="1:22" ht="15.75" x14ac:dyDescent="0.25">
      <c r="A63" s="24">
        <v>25</v>
      </c>
      <c r="B63" s="33">
        <f>(1+$D$10)*B62</f>
        <v>134.65535947680954</v>
      </c>
      <c r="C63" s="24">
        <v>0</v>
      </c>
      <c r="D63" s="137">
        <f>($D$13/1000*B63)+C63</f>
        <v>2154.4857516289526</v>
      </c>
      <c r="E63" s="138"/>
      <c r="F63" s="139"/>
      <c r="G63" s="320" t="s">
        <v>4</v>
      </c>
      <c r="H63" s="321"/>
      <c r="I63" s="126"/>
      <c r="J63" s="140">
        <f>D25</f>
        <v>150</v>
      </c>
      <c r="K63" s="322">
        <f t="shared" si="6"/>
        <v>150</v>
      </c>
      <c r="L63" s="32">
        <f t="shared" si="7"/>
        <v>1918.3063215637944</v>
      </c>
      <c r="M63" s="70">
        <f t="shared" si="1"/>
        <v>29026.138477943234</v>
      </c>
      <c r="N63" s="21">
        <f>NPV($D$22,$L$38:L63)</f>
        <v>29026.138477943234</v>
      </c>
      <c r="O63" s="67">
        <f t="shared" si="0"/>
        <v>0</v>
      </c>
      <c r="P63" s="33">
        <f t="shared" si="10"/>
        <v>134.65535947680954</v>
      </c>
      <c r="Q63" s="33">
        <f t="shared" si="10"/>
        <v>0</v>
      </c>
      <c r="R63" s="43">
        <f>R62*(1+$D$27)</f>
        <v>15360</v>
      </c>
      <c r="S63" s="21">
        <f>R63*D23*P63/1000+R63*(1-D23)*D24/1000</f>
        <v>2068.3063215637944</v>
      </c>
      <c r="T63" s="64">
        <v>25</v>
      </c>
      <c r="U63" s="66">
        <f t="shared" si="3"/>
        <v>49603.060914524205</v>
      </c>
      <c r="V63" s="66">
        <f>(V62+(D76+D77))</f>
        <v>27044.999999999985</v>
      </c>
    </row>
    <row r="64" spans="1:22" ht="15.75" x14ac:dyDescent="0.25">
      <c r="A64" s="12"/>
      <c r="B64" s="12"/>
      <c r="C64" s="12"/>
      <c r="D64" s="128">
        <f>SUM(D38:D63)</f>
        <v>49603.060914524205</v>
      </c>
      <c r="E64" s="129"/>
      <c r="F64" s="130" t="s">
        <v>4</v>
      </c>
      <c r="G64" s="56">
        <f>SUM(G38:G63)</f>
        <v>225</v>
      </c>
      <c r="H64" s="130"/>
      <c r="I64" s="130"/>
      <c r="J64" s="56">
        <f>SUM(J38:J63)</f>
        <v>3750</v>
      </c>
      <c r="K64" s="56">
        <f>SUM(K38:K63)</f>
        <v>16980</v>
      </c>
      <c r="L64" s="131"/>
      <c r="M64" s="34"/>
      <c r="N64" s="100"/>
      <c r="O64" s="35">
        <f>SUM(O38:O63)</f>
        <v>8</v>
      </c>
      <c r="P64" s="36">
        <f>AVERAGE(P38:P63)</f>
        <v>119.23812719837549</v>
      </c>
      <c r="Q64" s="36">
        <f>AVERAGE(Q38:Q63)</f>
        <v>0</v>
      </c>
      <c r="R64" s="37">
        <f>SUM(R38:R63)</f>
        <v>399360</v>
      </c>
      <c r="S64" s="132">
        <f>NPV(S22,S38:S63)</f>
        <v>46006.138477943234</v>
      </c>
      <c r="T64" s="100"/>
      <c r="U64" s="100"/>
      <c r="V64" s="100"/>
    </row>
    <row r="65" spans="1:6" ht="15.6" customHeight="1" x14ac:dyDescent="0.25">
      <c r="A65" s="8"/>
    </row>
    <row r="66" spans="1:6" s="96" customFormat="1" ht="15.6" customHeight="1" x14ac:dyDescent="0.25">
      <c r="A66" s="8"/>
    </row>
    <row r="67" spans="1:6" s="96" customFormat="1" ht="15.6" customHeight="1" x14ac:dyDescent="0.25">
      <c r="A67" s="8"/>
    </row>
    <row r="68" spans="1:6" ht="15.75" x14ac:dyDescent="0.25">
      <c r="A68" s="22" t="s">
        <v>76</v>
      </c>
      <c r="B68" s="12"/>
      <c r="C68" s="12"/>
      <c r="D68" s="12"/>
    </row>
    <row r="69" spans="1:6" ht="15.75" x14ac:dyDescent="0.25">
      <c r="A69" s="365" t="s">
        <v>77</v>
      </c>
      <c r="B69" s="366"/>
      <c r="C69" s="367"/>
      <c r="D69" s="19">
        <f>G110</f>
        <v>15360</v>
      </c>
      <c r="E69" t="s">
        <v>27</v>
      </c>
      <c r="F69" t="s">
        <v>4</v>
      </c>
    </row>
    <row r="70" spans="1:6" ht="15.75" x14ac:dyDescent="0.25">
      <c r="A70" s="368" t="s">
        <v>78</v>
      </c>
      <c r="B70" s="369"/>
      <c r="C70" s="370"/>
      <c r="D70" s="98">
        <v>1</v>
      </c>
      <c r="F70" t="s">
        <v>79</v>
      </c>
    </row>
    <row r="71" spans="1:6" ht="15.75" x14ac:dyDescent="0.25">
      <c r="A71" s="365" t="s">
        <v>80</v>
      </c>
      <c r="B71" s="366"/>
      <c r="C71" s="367"/>
      <c r="D71" s="23">
        <f>(H110/G110)</f>
        <v>0</v>
      </c>
    </row>
    <row r="72" spans="1:6" ht="15.75" x14ac:dyDescent="0.25">
      <c r="A72" s="371" t="s">
        <v>81</v>
      </c>
      <c r="B72" s="372"/>
      <c r="C72" s="373"/>
      <c r="D72" s="282">
        <f>C110</f>
        <v>16000.000000000002</v>
      </c>
      <c r="E72" t="s">
        <v>82</v>
      </c>
    </row>
    <row r="73" spans="1:6" ht="15.75" x14ac:dyDescent="0.25">
      <c r="A73" s="368" t="s">
        <v>84</v>
      </c>
      <c r="B73" s="338"/>
      <c r="C73" s="339"/>
      <c r="D73" s="283">
        <v>25</v>
      </c>
      <c r="E73" t="s">
        <v>85</v>
      </c>
      <c r="F73" t="s">
        <v>4</v>
      </c>
    </row>
    <row r="74" spans="1:6" ht="15.75" x14ac:dyDescent="0.25">
      <c r="A74" s="368" t="s">
        <v>86</v>
      </c>
      <c r="B74" s="338"/>
      <c r="C74" s="339"/>
      <c r="D74" s="284">
        <f>I110/C110</f>
        <v>0.95999999999999985</v>
      </c>
      <c r="E74" t="s">
        <v>4</v>
      </c>
      <c r="F74" t="s">
        <v>4</v>
      </c>
    </row>
    <row r="75" spans="1:6" ht="15.75" x14ac:dyDescent="0.25">
      <c r="A75" s="374" t="s">
        <v>230</v>
      </c>
      <c r="B75" s="350"/>
      <c r="C75" s="358"/>
      <c r="D75" s="290">
        <f>D19-D19*D20</f>
        <v>13005</v>
      </c>
      <c r="F75" s="100" t="s">
        <v>233</v>
      </c>
    </row>
    <row r="76" spans="1:6" ht="15.75" x14ac:dyDescent="0.25">
      <c r="A76" s="375" t="s">
        <v>121</v>
      </c>
      <c r="B76" s="375"/>
      <c r="C76" s="375"/>
      <c r="D76" s="65">
        <f>(M110)*D28/100</f>
        <v>672</v>
      </c>
    </row>
    <row r="77" spans="1:6" s="100" customFormat="1" ht="15.75" x14ac:dyDescent="0.25">
      <c r="A77" s="380" t="s">
        <v>140</v>
      </c>
      <c r="B77" s="381"/>
      <c r="C77" s="382"/>
      <c r="D77" s="108">
        <f>(L110)*D28/100</f>
        <v>89.599999999999866</v>
      </c>
    </row>
    <row r="78" spans="1:6" ht="15.75" x14ac:dyDescent="0.25">
      <c r="A78" s="376" t="s">
        <v>108</v>
      </c>
      <c r="B78" s="376"/>
      <c r="C78" s="376"/>
      <c r="D78" s="45">
        <f>L110*D73</f>
        <v>15999.999999999978</v>
      </c>
      <c r="E78" t="s">
        <v>27</v>
      </c>
    </row>
    <row r="79" spans="1:6" ht="15.75" x14ac:dyDescent="0.25">
      <c r="A79" s="376" t="s">
        <v>87</v>
      </c>
      <c r="B79" s="376"/>
      <c r="C79" s="376"/>
      <c r="D79" s="288">
        <f>(M110*D73)</f>
        <v>120000</v>
      </c>
      <c r="E79" t="s">
        <v>27</v>
      </c>
      <c r="F79" t="s">
        <v>4</v>
      </c>
    </row>
    <row r="80" spans="1:6" x14ac:dyDescent="0.25">
      <c r="E80" t="s">
        <v>4</v>
      </c>
    </row>
    <row r="81" spans="1:9" ht="16.5" thickBot="1" x14ac:dyDescent="0.3">
      <c r="A81" s="25" t="s">
        <v>88</v>
      </c>
      <c r="B81" s="12"/>
      <c r="C81" s="12"/>
      <c r="D81" s="12"/>
      <c r="E81" t="s">
        <v>4</v>
      </c>
      <c r="F81" t="s">
        <v>4</v>
      </c>
    </row>
    <row r="82" spans="1:9" ht="15.75" x14ac:dyDescent="0.25">
      <c r="A82" s="377" t="s">
        <v>89</v>
      </c>
      <c r="B82" s="378"/>
      <c r="C82" s="379"/>
      <c r="D82" s="26">
        <f>N63</f>
        <v>29026.138477943234</v>
      </c>
    </row>
    <row r="83" spans="1:9" ht="15.75" x14ac:dyDescent="0.25">
      <c r="A83" s="364" t="s">
        <v>90</v>
      </c>
      <c r="B83" s="338"/>
      <c r="C83" s="339"/>
      <c r="D83" s="27">
        <f>O64</f>
        <v>8</v>
      </c>
    </row>
    <row r="84" spans="1:9" ht="15.75" x14ac:dyDescent="0.25">
      <c r="A84" s="364" t="s">
        <v>107</v>
      </c>
      <c r="B84" s="338"/>
      <c r="C84" s="339"/>
      <c r="D84" s="28">
        <f>D75/J110</f>
        <v>8.0636160714285694</v>
      </c>
    </row>
    <row r="85" spans="1:9" ht="15.75" x14ac:dyDescent="0.25">
      <c r="A85" s="364" t="s">
        <v>38</v>
      </c>
      <c r="B85" s="385"/>
      <c r="C85" s="386"/>
      <c r="D85" s="141">
        <f>IRR(L38:L63,0.1)</f>
        <v>0.12946865421536669</v>
      </c>
      <c r="E85" t="s">
        <v>4</v>
      </c>
      <c r="F85" t="s">
        <v>4</v>
      </c>
    </row>
    <row r="86" spans="1:9" ht="16.5" thickBot="1" x14ac:dyDescent="0.3">
      <c r="A86" s="387" t="s">
        <v>152</v>
      </c>
      <c r="B86" s="388"/>
      <c r="C86" s="389"/>
      <c r="D86" s="142">
        <f>K64/R64*1000</f>
        <v>42.518028846153847</v>
      </c>
      <c r="E86" t="s">
        <v>47</v>
      </c>
    </row>
    <row r="88" spans="1:9" x14ac:dyDescent="0.25">
      <c r="A88" s="31" t="s">
        <v>91</v>
      </c>
    </row>
    <row r="89" spans="1:9" ht="15.75" x14ac:dyDescent="0.25">
      <c r="A89" s="390" t="s">
        <v>92</v>
      </c>
      <c r="B89" s="390"/>
      <c r="C89" s="390"/>
      <c r="D89" s="286">
        <v>84</v>
      </c>
      <c r="E89" t="s">
        <v>93</v>
      </c>
      <c r="F89" t="s">
        <v>4</v>
      </c>
      <c r="G89" t="s">
        <v>6</v>
      </c>
      <c r="H89">
        <v>2024</v>
      </c>
      <c r="I89" s="10" t="s">
        <v>274</v>
      </c>
    </row>
    <row r="90" spans="1:9" ht="15.75" x14ac:dyDescent="0.25">
      <c r="A90" s="390" t="s">
        <v>95</v>
      </c>
      <c r="B90" s="390"/>
      <c r="C90" s="390"/>
      <c r="D90" s="286">
        <v>106</v>
      </c>
      <c r="E90" t="s">
        <v>93</v>
      </c>
      <c r="G90" t="s">
        <v>6</v>
      </c>
      <c r="H90">
        <v>2024</v>
      </c>
      <c r="I90" s="10" t="s">
        <v>274</v>
      </c>
    </row>
    <row r="91" spans="1:9" ht="15.75" x14ac:dyDescent="0.25">
      <c r="A91" s="390" t="s">
        <v>96</v>
      </c>
      <c r="B91" s="390"/>
      <c r="C91" s="390"/>
      <c r="D91" s="287">
        <v>261.72000000000003</v>
      </c>
      <c r="E91" t="s">
        <v>93</v>
      </c>
      <c r="G91" t="s">
        <v>6</v>
      </c>
      <c r="H91">
        <v>2019</v>
      </c>
    </row>
    <row r="92" spans="1:9" ht="15.75" x14ac:dyDescent="0.25">
      <c r="A92" s="390" t="s">
        <v>97</v>
      </c>
      <c r="B92" s="390"/>
      <c r="C92" s="390"/>
      <c r="D92" s="288">
        <f>(G110*D91)/1000</f>
        <v>4020.0192000000002</v>
      </c>
      <c r="E92" t="s">
        <v>98</v>
      </c>
      <c r="F92" t="s">
        <v>4</v>
      </c>
    </row>
    <row r="93" spans="1:9" ht="15.75" x14ac:dyDescent="0.25">
      <c r="A93" s="390" t="s">
        <v>120</v>
      </c>
      <c r="B93" s="390"/>
      <c r="C93" s="390"/>
      <c r="D93" s="288">
        <f>(G110*D91)/1000-(M110*D89)/1000</f>
        <v>3616.8192000000004</v>
      </c>
      <c r="E93" t="s">
        <v>98</v>
      </c>
      <c r="G93" s="252" t="s">
        <v>275</v>
      </c>
      <c r="H93" s="252"/>
      <c r="I93" s="10" t="s">
        <v>276</v>
      </c>
    </row>
    <row r="94" spans="1:9" x14ac:dyDescent="0.25">
      <c r="A94" s="57"/>
      <c r="B94" s="57"/>
      <c r="C94" s="57"/>
      <c r="D94" s="57"/>
    </row>
    <row r="95" spans="1:9" x14ac:dyDescent="0.25">
      <c r="A95" s="8" t="s">
        <v>50</v>
      </c>
    </row>
    <row r="96" spans="1:9" x14ac:dyDescent="0.25">
      <c r="A96" s="9" t="s">
        <v>51</v>
      </c>
    </row>
    <row r="97" spans="1:13" ht="105" x14ac:dyDescent="0.25">
      <c r="A97" s="12"/>
      <c r="B97" s="12"/>
      <c r="C97" s="134" t="s">
        <v>52</v>
      </c>
      <c r="D97" s="13" t="s">
        <v>53</v>
      </c>
      <c r="E97" s="13" t="s">
        <v>54</v>
      </c>
      <c r="G97" s="13" t="s">
        <v>55</v>
      </c>
      <c r="H97" s="13" t="s">
        <v>56</v>
      </c>
      <c r="I97" s="13" t="s">
        <v>57</v>
      </c>
      <c r="J97" s="13" t="s">
        <v>58</v>
      </c>
      <c r="K97" s="13" t="s">
        <v>59</v>
      </c>
      <c r="L97" s="14" t="s">
        <v>60</v>
      </c>
      <c r="M97" s="15" t="s">
        <v>61</v>
      </c>
    </row>
    <row r="98" spans="1:13" ht="15.75" x14ac:dyDescent="0.25">
      <c r="A98" s="383" t="s">
        <v>62</v>
      </c>
      <c r="B98" s="384"/>
      <c r="C98" s="135">
        <f>$D$13/12</f>
        <v>1333.3333333333333</v>
      </c>
      <c r="D98" s="133">
        <f t="shared" ref="D98:D109" si="11">$D$111</f>
        <v>105</v>
      </c>
      <c r="E98" s="63">
        <f t="shared" ref="E98:E109" si="12">$D$24</f>
        <v>0</v>
      </c>
      <c r="G98" s="17">
        <f>(D26/12)</f>
        <v>1280</v>
      </c>
      <c r="H98" s="18">
        <f t="shared" ref="H98:H109" si="13">IF(G98-C98&lt;0,0,G98-C98)</f>
        <v>0</v>
      </c>
      <c r="I98" s="19">
        <f t="shared" ref="I98:I109" si="14">G98-H98</f>
        <v>1280</v>
      </c>
      <c r="J98" s="18">
        <f t="shared" ref="J98:J109" si="15">I98/1000*D98</f>
        <v>134.4</v>
      </c>
      <c r="K98" s="18">
        <f t="shared" ref="K98:K109" si="16">E98*H98/100</f>
        <v>0</v>
      </c>
      <c r="L98" s="43">
        <f t="shared" ref="L98:L109" si="17">C98-I98</f>
        <v>53.333333333333258</v>
      </c>
      <c r="M98" s="55">
        <f>(G98/D18)</f>
        <v>400</v>
      </c>
    </row>
    <row r="99" spans="1:13" ht="15.75" x14ac:dyDescent="0.25">
      <c r="A99" s="383" t="s">
        <v>63</v>
      </c>
      <c r="B99" s="384"/>
      <c r="C99" s="135">
        <f t="shared" ref="C99:C109" si="18">$D$13/12</f>
        <v>1333.3333333333333</v>
      </c>
      <c r="D99" s="133">
        <f t="shared" si="11"/>
        <v>105</v>
      </c>
      <c r="E99" s="63">
        <f t="shared" si="12"/>
        <v>0</v>
      </c>
      <c r="G99" s="17">
        <f>(D26/12)</f>
        <v>1280</v>
      </c>
      <c r="H99" s="18">
        <f t="shared" si="13"/>
        <v>0</v>
      </c>
      <c r="I99" s="19">
        <f t="shared" si="14"/>
        <v>1280</v>
      </c>
      <c r="J99" s="18">
        <f t="shared" si="15"/>
        <v>134.4</v>
      </c>
      <c r="K99" s="18">
        <f t="shared" si="16"/>
        <v>0</v>
      </c>
      <c r="L99" s="43">
        <f t="shared" si="17"/>
        <v>53.333333333333258</v>
      </c>
      <c r="M99" s="55">
        <f>(G99/D18)</f>
        <v>400</v>
      </c>
    </row>
    <row r="100" spans="1:13" ht="15.75" x14ac:dyDescent="0.25">
      <c r="A100" s="383" t="s">
        <v>64</v>
      </c>
      <c r="B100" s="384"/>
      <c r="C100" s="135">
        <f t="shared" si="18"/>
        <v>1333.3333333333333</v>
      </c>
      <c r="D100" s="133">
        <f t="shared" si="11"/>
        <v>105</v>
      </c>
      <c r="E100" s="63">
        <f t="shared" si="12"/>
        <v>0</v>
      </c>
      <c r="G100" s="17">
        <f>(D26/12)</f>
        <v>1280</v>
      </c>
      <c r="H100" s="18">
        <f t="shared" si="13"/>
        <v>0</v>
      </c>
      <c r="I100" s="19">
        <f t="shared" si="14"/>
        <v>1280</v>
      </c>
      <c r="J100" s="18">
        <f t="shared" si="15"/>
        <v>134.4</v>
      </c>
      <c r="K100" s="18">
        <f t="shared" si="16"/>
        <v>0</v>
      </c>
      <c r="L100" s="43">
        <f t="shared" si="17"/>
        <v>53.333333333333258</v>
      </c>
      <c r="M100" s="55">
        <f>(G100/D18)</f>
        <v>400</v>
      </c>
    </row>
    <row r="101" spans="1:13" ht="15.75" x14ac:dyDescent="0.25">
      <c r="A101" s="383" t="s">
        <v>65</v>
      </c>
      <c r="B101" s="384"/>
      <c r="C101" s="135">
        <f t="shared" si="18"/>
        <v>1333.3333333333333</v>
      </c>
      <c r="D101" s="133">
        <f t="shared" si="11"/>
        <v>105</v>
      </c>
      <c r="E101" s="63">
        <f t="shared" si="12"/>
        <v>0</v>
      </c>
      <c r="G101" s="17">
        <f>(D26/12)</f>
        <v>1280</v>
      </c>
      <c r="H101" s="18">
        <f t="shared" si="13"/>
        <v>0</v>
      </c>
      <c r="I101" s="19">
        <f t="shared" si="14"/>
        <v>1280</v>
      </c>
      <c r="J101" s="18">
        <f t="shared" si="15"/>
        <v>134.4</v>
      </c>
      <c r="K101" s="18">
        <f t="shared" si="16"/>
        <v>0</v>
      </c>
      <c r="L101" s="43">
        <f t="shared" si="17"/>
        <v>53.333333333333258</v>
      </c>
      <c r="M101" s="55">
        <f>(G101/D18)</f>
        <v>400</v>
      </c>
    </row>
    <row r="102" spans="1:13" ht="15.75" x14ac:dyDescent="0.25">
      <c r="A102" s="383" t="s">
        <v>66</v>
      </c>
      <c r="B102" s="384"/>
      <c r="C102" s="135">
        <f t="shared" si="18"/>
        <v>1333.3333333333333</v>
      </c>
      <c r="D102" s="133">
        <f t="shared" si="11"/>
        <v>105</v>
      </c>
      <c r="E102" s="63">
        <f t="shared" si="12"/>
        <v>0</v>
      </c>
      <c r="G102" s="17">
        <f>(D26/12)</f>
        <v>1280</v>
      </c>
      <c r="H102" s="18">
        <f t="shared" si="13"/>
        <v>0</v>
      </c>
      <c r="I102" s="19">
        <f t="shared" si="14"/>
        <v>1280</v>
      </c>
      <c r="J102" s="18">
        <f t="shared" si="15"/>
        <v>134.4</v>
      </c>
      <c r="K102" s="18">
        <f t="shared" si="16"/>
        <v>0</v>
      </c>
      <c r="L102" s="43">
        <f t="shared" si="17"/>
        <v>53.333333333333258</v>
      </c>
      <c r="M102" s="55">
        <f>(G102/D18)</f>
        <v>400</v>
      </c>
    </row>
    <row r="103" spans="1:13" ht="15.75" x14ac:dyDescent="0.25">
      <c r="A103" s="383" t="s">
        <v>67</v>
      </c>
      <c r="B103" s="384"/>
      <c r="C103" s="135">
        <f t="shared" si="18"/>
        <v>1333.3333333333333</v>
      </c>
      <c r="D103" s="133">
        <f t="shared" si="11"/>
        <v>105</v>
      </c>
      <c r="E103" s="63">
        <f t="shared" si="12"/>
        <v>0</v>
      </c>
      <c r="G103" s="17">
        <f>(D26/12)</f>
        <v>1280</v>
      </c>
      <c r="H103" s="18">
        <f t="shared" si="13"/>
        <v>0</v>
      </c>
      <c r="I103" s="19">
        <f t="shared" si="14"/>
        <v>1280</v>
      </c>
      <c r="J103" s="18">
        <f t="shared" si="15"/>
        <v>134.4</v>
      </c>
      <c r="K103" s="18">
        <f t="shared" si="16"/>
        <v>0</v>
      </c>
      <c r="L103" s="43">
        <f t="shared" si="17"/>
        <v>53.333333333333258</v>
      </c>
      <c r="M103" s="55">
        <f>(G103/D18)</f>
        <v>400</v>
      </c>
    </row>
    <row r="104" spans="1:13" ht="15.75" x14ac:dyDescent="0.25">
      <c r="A104" s="383" t="s">
        <v>68</v>
      </c>
      <c r="B104" s="384"/>
      <c r="C104" s="135">
        <f t="shared" si="18"/>
        <v>1333.3333333333333</v>
      </c>
      <c r="D104" s="133">
        <f t="shared" si="11"/>
        <v>105</v>
      </c>
      <c r="E104" s="63">
        <f t="shared" si="12"/>
        <v>0</v>
      </c>
      <c r="G104" s="17">
        <f>(D26/12)</f>
        <v>1280</v>
      </c>
      <c r="H104" s="18">
        <f t="shared" si="13"/>
        <v>0</v>
      </c>
      <c r="I104" s="19">
        <f t="shared" si="14"/>
        <v>1280</v>
      </c>
      <c r="J104" s="18">
        <f t="shared" si="15"/>
        <v>134.4</v>
      </c>
      <c r="K104" s="18">
        <f t="shared" si="16"/>
        <v>0</v>
      </c>
      <c r="L104" s="43">
        <f t="shared" si="17"/>
        <v>53.333333333333258</v>
      </c>
      <c r="M104" s="55">
        <f>(G104/D18)</f>
        <v>400</v>
      </c>
    </row>
    <row r="105" spans="1:13" ht="15.75" x14ac:dyDescent="0.25">
      <c r="A105" s="383" t="s">
        <v>69</v>
      </c>
      <c r="B105" s="384"/>
      <c r="C105" s="135">
        <f t="shared" si="18"/>
        <v>1333.3333333333333</v>
      </c>
      <c r="D105" s="133">
        <f t="shared" si="11"/>
        <v>105</v>
      </c>
      <c r="E105" s="63">
        <f t="shared" si="12"/>
        <v>0</v>
      </c>
      <c r="G105" s="17">
        <f>(D26/12)</f>
        <v>1280</v>
      </c>
      <c r="H105" s="18">
        <f t="shared" si="13"/>
        <v>0</v>
      </c>
      <c r="I105" s="19">
        <f t="shared" si="14"/>
        <v>1280</v>
      </c>
      <c r="J105" s="18">
        <f t="shared" si="15"/>
        <v>134.4</v>
      </c>
      <c r="K105" s="18">
        <f t="shared" si="16"/>
        <v>0</v>
      </c>
      <c r="L105" s="43">
        <f t="shared" si="17"/>
        <v>53.333333333333258</v>
      </c>
      <c r="M105" s="55">
        <f>(G105/D18)</f>
        <v>400</v>
      </c>
    </row>
    <row r="106" spans="1:13" ht="15.75" x14ac:dyDescent="0.25">
      <c r="A106" s="383" t="s">
        <v>70</v>
      </c>
      <c r="B106" s="384"/>
      <c r="C106" s="135">
        <f t="shared" si="18"/>
        <v>1333.3333333333333</v>
      </c>
      <c r="D106" s="133">
        <f t="shared" si="11"/>
        <v>105</v>
      </c>
      <c r="E106" s="63">
        <f t="shared" si="12"/>
        <v>0</v>
      </c>
      <c r="G106" s="17">
        <f>(D26/12)</f>
        <v>1280</v>
      </c>
      <c r="H106" s="18">
        <f t="shared" si="13"/>
        <v>0</v>
      </c>
      <c r="I106" s="19">
        <f t="shared" si="14"/>
        <v>1280</v>
      </c>
      <c r="J106" s="18">
        <f t="shared" si="15"/>
        <v>134.4</v>
      </c>
      <c r="K106" s="18">
        <f t="shared" si="16"/>
        <v>0</v>
      </c>
      <c r="L106" s="43">
        <f t="shared" si="17"/>
        <v>53.333333333333258</v>
      </c>
      <c r="M106" s="55">
        <f>(G106/D18)</f>
        <v>400</v>
      </c>
    </row>
    <row r="107" spans="1:13" ht="15.75" x14ac:dyDescent="0.25">
      <c r="A107" s="383" t="s">
        <v>71</v>
      </c>
      <c r="B107" s="384"/>
      <c r="C107" s="135">
        <f t="shared" si="18"/>
        <v>1333.3333333333333</v>
      </c>
      <c r="D107" s="133">
        <f t="shared" si="11"/>
        <v>105</v>
      </c>
      <c r="E107" s="63">
        <f t="shared" si="12"/>
        <v>0</v>
      </c>
      <c r="G107" s="17">
        <f>(D26/12)</f>
        <v>1280</v>
      </c>
      <c r="H107" s="18">
        <f t="shared" si="13"/>
        <v>0</v>
      </c>
      <c r="I107" s="19">
        <f t="shared" si="14"/>
        <v>1280</v>
      </c>
      <c r="J107" s="18">
        <f t="shared" si="15"/>
        <v>134.4</v>
      </c>
      <c r="K107" s="18">
        <f t="shared" si="16"/>
        <v>0</v>
      </c>
      <c r="L107" s="43">
        <f t="shared" si="17"/>
        <v>53.333333333333258</v>
      </c>
      <c r="M107" s="55">
        <f>(G107/D18)</f>
        <v>400</v>
      </c>
    </row>
    <row r="108" spans="1:13" ht="15.75" x14ac:dyDescent="0.25">
      <c r="A108" s="383" t="s">
        <v>72</v>
      </c>
      <c r="B108" s="384"/>
      <c r="C108" s="135">
        <f t="shared" si="18"/>
        <v>1333.3333333333333</v>
      </c>
      <c r="D108" s="133">
        <f t="shared" si="11"/>
        <v>105</v>
      </c>
      <c r="E108" s="63">
        <f t="shared" si="12"/>
        <v>0</v>
      </c>
      <c r="G108" s="17">
        <f>(D26/12)</f>
        <v>1280</v>
      </c>
      <c r="H108" s="18">
        <f t="shared" si="13"/>
        <v>0</v>
      </c>
      <c r="I108" s="19">
        <f t="shared" si="14"/>
        <v>1280</v>
      </c>
      <c r="J108" s="18">
        <f t="shared" si="15"/>
        <v>134.4</v>
      </c>
      <c r="K108" s="18">
        <f t="shared" si="16"/>
        <v>0</v>
      </c>
      <c r="L108" s="43">
        <f t="shared" si="17"/>
        <v>53.333333333333258</v>
      </c>
      <c r="M108" s="55">
        <f>(G108/D18)</f>
        <v>400</v>
      </c>
    </row>
    <row r="109" spans="1:13" ht="15.75" x14ac:dyDescent="0.25">
      <c r="A109" s="383" t="s">
        <v>73</v>
      </c>
      <c r="B109" s="384"/>
      <c r="C109" s="135">
        <f t="shared" si="18"/>
        <v>1333.3333333333333</v>
      </c>
      <c r="D109" s="133">
        <f t="shared" si="11"/>
        <v>105</v>
      </c>
      <c r="E109" s="63">
        <f t="shared" si="12"/>
        <v>0</v>
      </c>
      <c r="G109" s="17">
        <f>(D26/12)</f>
        <v>1280</v>
      </c>
      <c r="H109" s="18">
        <f t="shared" si="13"/>
        <v>0</v>
      </c>
      <c r="I109" s="19">
        <f t="shared" si="14"/>
        <v>1280</v>
      </c>
      <c r="J109" s="18">
        <f t="shared" si="15"/>
        <v>134.4</v>
      </c>
      <c r="K109" s="18">
        <f t="shared" si="16"/>
        <v>0</v>
      </c>
      <c r="L109" s="43">
        <f t="shared" si="17"/>
        <v>53.333333333333258</v>
      </c>
      <c r="M109" s="55">
        <f>(G109/D18)</f>
        <v>400</v>
      </c>
    </row>
    <row r="110" spans="1:13" ht="15.75" x14ac:dyDescent="0.25">
      <c r="A110" s="391" t="s">
        <v>74</v>
      </c>
      <c r="B110" s="392"/>
      <c r="C110" s="20">
        <f>SUM(C98:C109)</f>
        <v>16000.000000000002</v>
      </c>
      <c r="D110" s="12"/>
      <c r="E110" s="12"/>
      <c r="G110" s="18">
        <f t="shared" ref="G110:L110" si="19">SUM(G98:G109)</f>
        <v>15360</v>
      </c>
      <c r="H110" s="18">
        <f t="shared" si="19"/>
        <v>0</v>
      </c>
      <c r="I110" s="19">
        <f t="shared" si="19"/>
        <v>15360</v>
      </c>
      <c r="J110" s="21">
        <f t="shared" si="19"/>
        <v>1612.8000000000004</v>
      </c>
      <c r="K110" s="18">
        <f t="shared" si="19"/>
        <v>0</v>
      </c>
      <c r="L110" s="43">
        <f t="shared" si="19"/>
        <v>639.99999999999909</v>
      </c>
      <c r="M110" s="55">
        <f>(G110/D18)</f>
        <v>4800</v>
      </c>
    </row>
    <row r="111" spans="1:13" ht="15.75" x14ac:dyDescent="0.25">
      <c r="A111" s="391" t="s">
        <v>75</v>
      </c>
      <c r="B111" s="393"/>
      <c r="C111" s="12"/>
      <c r="D111" s="16">
        <f>D9</f>
        <v>105</v>
      </c>
      <c r="E111" s="16">
        <f>D24</f>
        <v>0</v>
      </c>
    </row>
    <row r="113" spans="5:5" x14ac:dyDescent="0.25">
      <c r="E113" t="s">
        <v>4</v>
      </c>
    </row>
  </sheetData>
  <mergeCells count="56">
    <mergeCell ref="A25:C25"/>
    <mergeCell ref="A1:L1"/>
    <mergeCell ref="A9:C9"/>
    <mergeCell ref="A10:C10"/>
    <mergeCell ref="A11:C11"/>
    <mergeCell ref="A18:C18"/>
    <mergeCell ref="A19:C19"/>
    <mergeCell ref="A20:C20"/>
    <mergeCell ref="A21:C21"/>
    <mergeCell ref="A22:C22"/>
    <mergeCell ref="A23:C23"/>
    <mergeCell ref="A24:C24"/>
    <mergeCell ref="A12:C12"/>
    <mergeCell ref="A13:C13"/>
    <mergeCell ref="A14:C14"/>
    <mergeCell ref="A100:B100"/>
    <mergeCell ref="A101:B101"/>
    <mergeCell ref="A102:B102"/>
    <mergeCell ref="A103:B103"/>
    <mergeCell ref="A26:C26"/>
    <mergeCell ref="A27:C27"/>
    <mergeCell ref="A28:C28"/>
    <mergeCell ref="A29:C29"/>
    <mergeCell ref="A30:C30"/>
    <mergeCell ref="A31:C31"/>
    <mergeCell ref="A74:C74"/>
    <mergeCell ref="A69:C69"/>
    <mergeCell ref="A70:C70"/>
    <mergeCell ref="A71:C71"/>
    <mergeCell ref="A72:C72"/>
    <mergeCell ref="A73:C73"/>
    <mergeCell ref="A110:B110"/>
    <mergeCell ref="A111:B111"/>
    <mergeCell ref="A83:C83"/>
    <mergeCell ref="A104:B104"/>
    <mergeCell ref="A105:B105"/>
    <mergeCell ref="A106:B106"/>
    <mergeCell ref="A107:B107"/>
    <mergeCell ref="A108:B108"/>
    <mergeCell ref="A109:B109"/>
    <mergeCell ref="A98:B98"/>
    <mergeCell ref="A99:B99"/>
    <mergeCell ref="A92:C92"/>
    <mergeCell ref="A93:C93"/>
    <mergeCell ref="A84:C84"/>
    <mergeCell ref="A85:C85"/>
    <mergeCell ref="A86:C86"/>
    <mergeCell ref="A89:C89"/>
    <mergeCell ref="A90:C90"/>
    <mergeCell ref="A91:C91"/>
    <mergeCell ref="A75:C75"/>
    <mergeCell ref="A76:C76"/>
    <mergeCell ref="A78:C78"/>
    <mergeCell ref="A79:C79"/>
    <mergeCell ref="A82:C82"/>
    <mergeCell ref="A77:C77"/>
  </mergeCells>
  <conditionalFormatting sqref="M39:N63 M38">
    <cfRule type="cellIs" dxfId="0" priority="1" operator="greaterThan">
      <formula>1</formula>
    </cfRule>
  </conditionalFormatting>
  <conditionalFormatting sqref="N39:N63">
    <cfRule type="colorScale" priority="2">
      <colorScale>
        <cfvo type="min"/>
        <cfvo type="percentile" val="50"/>
        <cfvo type="max"/>
        <color rgb="FFF8696B"/>
        <color rgb="FFFCFCFF"/>
        <color rgb="FF63BE7B"/>
      </colorScale>
    </cfRule>
  </conditionalFormatting>
  <conditionalFormatting sqref="M38:M63">
    <cfRule type="colorScale" priority="3">
      <colorScale>
        <cfvo type="min"/>
        <cfvo type="percentile" val="50"/>
        <cfvo type="max"/>
        <color rgb="FFF8696B"/>
        <color rgb="FFFCFCFF"/>
        <color rgb="FF63BE7B"/>
      </colorScale>
    </cfRule>
  </conditionalFormatting>
  <hyperlinks>
    <hyperlink ref="I10" r:id="rId1" xr:uid="{FFAA3B27-7179-49CE-99B8-5CCBDBE47E36}"/>
    <hyperlink ref="I21" r:id="rId2" display="www.vero.fi" xr:uid="{093CB29C-D086-4F03-871A-1F37749CC7BA}"/>
    <hyperlink ref="K21" r:id="rId3" display="www.businessfinland.fi" xr:uid="{95FF0D1F-9234-4568-8D9B-942D920861ED}"/>
    <hyperlink ref="N21" r:id="rId4" display="www.ara.fi" xr:uid="{F2B61B6E-F661-454E-932D-404454D5634D}"/>
    <hyperlink ref="I19" r:id="rId5" display="www.sulpu.fi" xr:uid="{CD2817B4-D651-4D38-9480-FFD54C07EA1B}"/>
    <hyperlink ref="H20" r:id="rId6" xr:uid="{1AB1D032-B2F1-4BEF-B6AE-C2B404228D24}"/>
    <hyperlink ref="I20" r:id="rId7" xr:uid="{F96D1D5C-68A6-4722-9FB0-039CC69B2837}"/>
    <hyperlink ref="K20" r:id="rId8" xr:uid="{AD488701-1B88-401A-BAED-325B21B15AB2}"/>
    <hyperlink ref="I89" r:id="rId9" location="fi_id7000000778" display="https://co2data.fi/rakentaminen/ - fi_id7000000778" xr:uid="{7D5197C8-77BE-4D10-927B-0AF8229F70C1}"/>
    <hyperlink ref="I90" r:id="rId10" location="fi_id7000000763" display="https://co2data.fi/rakentaminen/ - fi_id7000000763" xr:uid="{F55902F0-D02B-4844-A8B1-E31FE4398B08}"/>
    <hyperlink ref="I93" r:id="rId11" xr:uid="{DC7D2C47-21A6-4ECA-B3A7-9E86D3D1E932}"/>
    <hyperlink ref="L20" r:id="rId12" xr:uid="{42E2B74E-417B-46B7-B698-1B7B9704E85B}"/>
  </hyperlinks>
  <pageMargins left="0.7" right="0.7" top="0.75" bottom="0.75" header="0.3" footer="0.3"/>
  <pageSetup paperSize="9" orientation="portrait" r:id="rId13"/>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26F0-FF2E-4335-9EFC-490CACEC065E}">
  <sheetPr>
    <outlinePr summaryBelow="0" summaryRight="0"/>
  </sheetPr>
  <dimension ref="A1:AD1009"/>
  <sheetViews>
    <sheetView showGridLines="0" topLeftCell="A4" zoomScale="70" zoomScaleNormal="70" workbookViewId="0">
      <selection activeCell="A5" sqref="A5"/>
    </sheetView>
  </sheetViews>
  <sheetFormatPr defaultColWidth="14.5703125" defaultRowHeight="15" customHeight="1" x14ac:dyDescent="0.25"/>
  <cols>
    <col min="1" max="2" width="11.5703125" style="146" customWidth="1"/>
    <col min="3" max="3" width="11.140625" style="146" customWidth="1"/>
    <col min="4" max="4" width="14.140625" style="146" customWidth="1"/>
    <col min="5" max="5" width="12.5703125" style="146" customWidth="1"/>
    <col min="6" max="6" width="11.42578125" style="146" customWidth="1"/>
    <col min="7" max="7" width="11.140625" style="146" customWidth="1"/>
    <col min="8" max="8" width="13.5703125" style="146" customWidth="1"/>
    <col min="9" max="9" width="13.85546875" style="146" customWidth="1"/>
    <col min="10" max="10" width="13.7109375" style="146" customWidth="1"/>
    <col min="11" max="11" width="13.5703125" style="146" customWidth="1"/>
    <col min="12" max="12" width="9.85546875" style="146" customWidth="1"/>
    <col min="13" max="13" width="13.5703125" style="146" customWidth="1"/>
    <col min="14" max="14" width="14.28515625" style="146" customWidth="1"/>
    <col min="15" max="15" width="14.140625" style="146" customWidth="1"/>
    <col min="16" max="16" width="13.140625" style="146" customWidth="1"/>
    <col min="17" max="17" width="14.5703125" style="146" customWidth="1"/>
    <col min="18" max="16384" width="14.5703125" style="146"/>
  </cols>
  <sheetData>
    <row r="1" spans="1:26" ht="15.75" x14ac:dyDescent="0.25">
      <c r="A1" s="143" t="s">
        <v>263</v>
      </c>
      <c r="B1" s="144"/>
      <c r="C1" s="144"/>
      <c r="D1" s="144"/>
      <c r="E1" s="145"/>
      <c r="F1" s="145"/>
      <c r="G1" s="145"/>
      <c r="H1" s="145"/>
      <c r="I1" s="145"/>
      <c r="J1" s="145"/>
      <c r="K1" s="145"/>
      <c r="L1" s="145"/>
      <c r="M1" s="145"/>
      <c r="N1" s="145"/>
      <c r="O1" s="145"/>
      <c r="P1" s="145"/>
      <c r="Q1" s="145"/>
      <c r="R1" s="145"/>
      <c r="S1" s="145"/>
      <c r="T1" s="145"/>
      <c r="U1" s="145"/>
      <c r="V1" s="145"/>
      <c r="W1" s="145"/>
      <c r="X1" s="145"/>
      <c r="Y1" s="145"/>
      <c r="Z1" s="145"/>
    </row>
    <row r="2" spans="1:26" ht="15.75" x14ac:dyDescent="0.25">
      <c r="A2" s="145" t="s">
        <v>153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row>
    <row r="3" spans="1:26" ht="15.75" x14ac:dyDescent="0.25">
      <c r="A3" s="252" t="s">
        <v>279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ht="57.6" customHeight="1" x14ac:dyDescent="0.25">
      <c r="A4" s="422" t="s">
        <v>250</v>
      </c>
      <c r="B4" s="423"/>
      <c r="C4" s="423"/>
      <c r="D4" s="423"/>
      <c r="E4" s="423"/>
      <c r="F4" s="423"/>
      <c r="G4" s="423"/>
      <c r="H4" s="423"/>
      <c r="I4" s="145"/>
      <c r="J4" s="145"/>
      <c r="K4" s="145"/>
      <c r="L4" s="145"/>
      <c r="M4" s="145"/>
      <c r="N4" s="145"/>
      <c r="O4" s="145"/>
      <c r="P4" s="145"/>
      <c r="Q4" s="145"/>
      <c r="R4" s="145"/>
      <c r="S4" s="145"/>
      <c r="T4" s="145"/>
      <c r="U4" s="145"/>
      <c r="V4" s="145"/>
      <c r="W4" s="145"/>
      <c r="X4" s="145"/>
      <c r="Y4" s="145"/>
      <c r="Z4" s="145"/>
    </row>
    <row r="5" spans="1:26" ht="15.75" customHeight="1" x14ac:dyDescent="0.25">
      <c r="A5" s="148"/>
      <c r="B5" s="145"/>
      <c r="C5" s="145"/>
      <c r="D5" s="145"/>
      <c r="E5" s="145"/>
      <c r="F5" s="145"/>
      <c r="G5" s="145"/>
      <c r="H5" s="145"/>
      <c r="I5" s="145"/>
      <c r="J5" s="145"/>
      <c r="K5" s="145"/>
      <c r="L5" s="145"/>
      <c r="M5" s="145"/>
      <c r="N5" s="145"/>
      <c r="O5" s="145"/>
      <c r="P5" s="145"/>
      <c r="Q5" s="145"/>
      <c r="R5" s="145"/>
      <c r="S5" s="145"/>
      <c r="T5" s="145"/>
      <c r="U5" s="145"/>
      <c r="V5" s="145"/>
      <c r="W5" s="145"/>
      <c r="X5" s="145"/>
      <c r="Y5" s="145"/>
      <c r="Z5" s="145"/>
    </row>
    <row r="6" spans="1:26" ht="15.75" customHeight="1" x14ac:dyDescent="0.25">
      <c r="A6" s="148" t="s">
        <v>0</v>
      </c>
      <c r="B6" s="145"/>
      <c r="C6" s="145"/>
      <c r="D6" s="145"/>
      <c r="E6" s="145"/>
      <c r="F6" s="145"/>
      <c r="G6" s="145"/>
      <c r="H6" s="145"/>
      <c r="I6" s="145"/>
      <c r="J6" s="145"/>
      <c r="K6" s="145"/>
      <c r="L6" s="145"/>
      <c r="M6" s="145"/>
      <c r="N6" s="145"/>
      <c r="O6" s="145"/>
      <c r="P6" s="145"/>
      <c r="Q6" s="145"/>
      <c r="R6" s="145"/>
      <c r="S6" s="145"/>
      <c r="T6" s="145"/>
      <c r="U6" s="145"/>
      <c r="V6" s="145"/>
      <c r="W6" s="145"/>
      <c r="X6" s="145"/>
      <c r="Y6" s="145"/>
      <c r="Z6" s="145"/>
    </row>
    <row r="7" spans="1:26" ht="15.75" customHeight="1" x14ac:dyDescent="0.25">
      <c r="A7" s="149" t="s">
        <v>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5.75" x14ac:dyDescent="0.25">
      <c r="A8" s="150"/>
      <c r="B8" s="150"/>
      <c r="C8" s="150"/>
      <c r="D8" s="150"/>
      <c r="E8" s="150"/>
      <c r="F8" s="150"/>
      <c r="G8" s="145"/>
      <c r="H8" s="145"/>
      <c r="I8" s="145"/>
      <c r="J8" s="145"/>
      <c r="K8" s="145"/>
      <c r="L8" s="145"/>
      <c r="M8" s="145"/>
      <c r="N8" s="145"/>
      <c r="O8" s="145"/>
      <c r="P8" s="145"/>
      <c r="Q8" s="145"/>
      <c r="R8" s="145"/>
      <c r="S8" s="145"/>
      <c r="T8" s="145"/>
      <c r="U8" s="145"/>
      <c r="V8" s="145"/>
      <c r="W8" s="145"/>
      <c r="X8" s="145"/>
      <c r="Y8" s="145"/>
      <c r="Z8" s="145"/>
    </row>
    <row r="9" spans="1:26" ht="15.75" x14ac:dyDescent="0.25">
      <c r="A9" s="424" t="s">
        <v>154</v>
      </c>
      <c r="B9" s="423"/>
      <c r="C9" s="423"/>
      <c r="D9" s="423"/>
      <c r="E9" s="423"/>
      <c r="F9" s="423"/>
      <c r="G9" s="423"/>
      <c r="H9" s="423"/>
      <c r="I9" s="145"/>
      <c r="J9" s="145"/>
      <c r="K9" s="145"/>
      <c r="L9" s="145"/>
      <c r="M9" s="145"/>
      <c r="N9" s="145"/>
      <c r="O9" s="145"/>
      <c r="P9" s="145"/>
      <c r="Q9" s="145"/>
      <c r="R9" s="145"/>
      <c r="S9" s="145"/>
      <c r="T9" s="145"/>
      <c r="U9" s="145"/>
      <c r="V9" s="145"/>
      <c r="W9" s="145"/>
      <c r="X9" s="145"/>
      <c r="Y9" s="145"/>
      <c r="Z9" s="145"/>
    </row>
    <row r="10" spans="1:26" ht="15.75" customHeight="1" x14ac:dyDescent="0.25">
      <c r="A10" s="425" t="s">
        <v>2</v>
      </c>
      <c r="B10" s="395"/>
      <c r="C10" s="395"/>
      <c r="D10" s="395"/>
      <c r="E10" s="396"/>
      <c r="F10" s="151">
        <v>5</v>
      </c>
      <c r="G10" s="145" t="s">
        <v>3</v>
      </c>
      <c r="H10" s="145" t="s">
        <v>155</v>
      </c>
      <c r="I10" s="145"/>
      <c r="J10" s="145"/>
      <c r="K10" s="145"/>
      <c r="L10" s="145"/>
      <c r="M10" s="145"/>
      <c r="N10" s="145"/>
      <c r="O10" s="145"/>
      <c r="P10" s="145"/>
      <c r="Q10" s="145"/>
      <c r="R10" s="145"/>
      <c r="S10" s="145"/>
      <c r="T10" s="145"/>
      <c r="U10" s="145"/>
      <c r="V10" s="145"/>
      <c r="W10" s="145"/>
      <c r="X10" s="145"/>
      <c r="Y10" s="145"/>
      <c r="Z10" s="145"/>
    </row>
    <row r="11" spans="1:26" ht="15.75" customHeight="1" x14ac:dyDescent="0.25">
      <c r="A11" s="425" t="s">
        <v>156</v>
      </c>
      <c r="B11" s="395"/>
      <c r="C11" s="395"/>
      <c r="D11" s="395"/>
      <c r="E11" s="396"/>
      <c r="F11" s="151">
        <v>4</v>
      </c>
      <c r="G11" s="145" t="s">
        <v>3</v>
      </c>
      <c r="H11" s="145" t="s">
        <v>157</v>
      </c>
      <c r="I11" s="145"/>
      <c r="J11" s="145"/>
      <c r="K11" s="145"/>
      <c r="L11" s="145"/>
      <c r="M11" s="145"/>
      <c r="N11" s="145"/>
      <c r="O11" s="145"/>
      <c r="P11" s="145"/>
      <c r="Q11" s="145"/>
      <c r="R11" s="145"/>
      <c r="S11" s="145"/>
      <c r="T11" s="145"/>
      <c r="U11" s="145"/>
      <c r="V11" s="145"/>
      <c r="W11" s="145"/>
      <c r="X11" s="145"/>
      <c r="Y11" s="145"/>
      <c r="Z11" s="145"/>
    </row>
    <row r="12" spans="1:26" ht="15.75" customHeight="1" x14ac:dyDescent="0.25">
      <c r="A12" s="425" t="s">
        <v>5</v>
      </c>
      <c r="B12" s="395"/>
      <c r="C12" s="395"/>
      <c r="D12" s="395"/>
      <c r="E12" s="396"/>
      <c r="F12" s="152">
        <f>(2.253)</f>
        <v>2.2530000000000001</v>
      </c>
      <c r="G12" s="145" t="s">
        <v>3</v>
      </c>
      <c r="H12" s="145" t="s">
        <v>158</v>
      </c>
      <c r="I12" s="145"/>
      <c r="J12" s="145"/>
      <c r="K12" s="145"/>
      <c r="L12" s="145"/>
      <c r="M12" s="145"/>
      <c r="N12" s="145"/>
      <c r="O12" s="145"/>
      <c r="P12" s="145"/>
      <c r="Q12" s="145"/>
      <c r="R12" s="145"/>
      <c r="S12" s="145"/>
      <c r="T12" s="145"/>
      <c r="U12" s="145"/>
      <c r="V12" s="145"/>
      <c r="W12" s="145"/>
      <c r="X12" s="145"/>
      <c r="Y12" s="145"/>
      <c r="Z12" s="145"/>
    </row>
    <row r="13" spans="1:26" ht="15.75" customHeight="1" x14ac:dyDescent="0.25">
      <c r="A13" s="425" t="s">
        <v>7</v>
      </c>
      <c r="B13" s="395"/>
      <c r="C13" s="395"/>
      <c r="D13" s="395"/>
      <c r="E13" s="396"/>
      <c r="F13" s="325">
        <v>0.255</v>
      </c>
      <c r="G13" s="145"/>
      <c r="H13" s="145" t="s">
        <v>272</v>
      </c>
      <c r="I13" s="145"/>
      <c r="J13" s="145"/>
      <c r="K13" s="145"/>
      <c r="L13" s="145"/>
      <c r="M13" s="145"/>
      <c r="N13" s="145"/>
      <c r="O13" s="145"/>
      <c r="P13" s="145"/>
      <c r="Q13" s="145"/>
      <c r="R13" s="145"/>
      <c r="S13" s="145"/>
      <c r="T13" s="145"/>
      <c r="U13" s="145"/>
      <c r="V13" s="145"/>
      <c r="W13" s="145"/>
      <c r="X13" s="145"/>
      <c r="Y13" s="145"/>
      <c r="Z13" s="145"/>
    </row>
    <row r="14" spans="1:26" ht="15.75" customHeight="1" x14ac:dyDescent="0.25">
      <c r="A14" s="412" t="s">
        <v>159</v>
      </c>
      <c r="B14" s="395"/>
      <c r="C14" s="395"/>
      <c r="D14" s="395"/>
      <c r="E14" s="396"/>
      <c r="F14" s="324">
        <f>(F10+F11+F12)*(1+F13)</f>
        <v>14.122514999999998</v>
      </c>
      <c r="G14" s="145" t="s">
        <v>3</v>
      </c>
      <c r="H14" s="145" t="s">
        <v>242</v>
      </c>
      <c r="I14" s="145"/>
      <c r="J14" s="145"/>
      <c r="K14" s="145"/>
      <c r="L14" s="145"/>
      <c r="M14" s="145"/>
      <c r="N14" s="145"/>
      <c r="O14" s="145"/>
      <c r="P14" s="145"/>
      <c r="Q14" s="145"/>
      <c r="R14" s="145"/>
      <c r="S14" s="145"/>
      <c r="T14" s="145"/>
      <c r="U14" s="145"/>
      <c r="V14" s="145"/>
      <c r="W14" s="145"/>
      <c r="X14" s="145"/>
      <c r="Y14" s="145"/>
      <c r="Z14" s="145"/>
    </row>
    <row r="15" spans="1:26" ht="15.75" customHeight="1" x14ac:dyDescent="0.25">
      <c r="A15" s="414" t="s">
        <v>160</v>
      </c>
      <c r="B15" s="408"/>
      <c r="C15" s="408"/>
      <c r="D15" s="408"/>
      <c r="E15" s="409"/>
      <c r="F15" s="153">
        <v>0.01</v>
      </c>
      <c r="G15" s="145" t="s">
        <v>161</v>
      </c>
      <c r="H15" s="145" t="s">
        <v>162</v>
      </c>
      <c r="I15" s="145"/>
      <c r="J15" s="145"/>
      <c r="K15" s="145"/>
      <c r="L15" s="145"/>
      <c r="M15" s="145"/>
      <c r="N15" s="145"/>
      <c r="O15" s="145"/>
      <c r="P15" s="145"/>
      <c r="Q15" s="145"/>
      <c r="R15" s="145"/>
      <c r="S15" s="145"/>
      <c r="T15" s="145"/>
      <c r="U15" s="145"/>
      <c r="V15" s="145"/>
      <c r="W15" s="145"/>
      <c r="X15" s="145"/>
      <c r="Y15" s="145"/>
      <c r="Z15" s="145"/>
    </row>
    <row r="16" spans="1:26" ht="15.75" customHeight="1" x14ac:dyDescent="0.25">
      <c r="A16" s="426" t="s">
        <v>163</v>
      </c>
      <c r="B16" s="426"/>
      <c r="C16" s="426"/>
      <c r="D16" s="426"/>
      <c r="E16" s="426"/>
      <c r="F16" s="277">
        <f>(7500+4800)</f>
        <v>12300</v>
      </c>
      <c r="G16" s="150" t="s">
        <v>10</v>
      </c>
      <c r="H16" s="145"/>
      <c r="I16" s="145"/>
      <c r="J16" s="145"/>
      <c r="K16" s="145"/>
      <c r="L16" s="145"/>
      <c r="M16" s="145"/>
      <c r="N16" s="145"/>
      <c r="O16" s="145"/>
      <c r="P16" s="145"/>
      <c r="Q16" s="145"/>
      <c r="R16" s="145"/>
      <c r="S16" s="145"/>
      <c r="T16" s="145"/>
      <c r="U16" s="145"/>
      <c r="V16" s="145"/>
      <c r="W16" s="145"/>
      <c r="X16" s="145"/>
      <c r="Y16" s="145"/>
      <c r="Z16" s="145"/>
    </row>
    <row r="17" spans="1:26" ht="15.75" customHeight="1" x14ac:dyDescent="0.25">
      <c r="A17" s="154" t="s">
        <v>164</v>
      </c>
      <c r="B17" s="150"/>
      <c r="C17" s="150"/>
      <c r="F17" s="150"/>
      <c r="G17" s="150"/>
      <c r="H17" s="145"/>
      <c r="I17" s="145"/>
      <c r="J17" s="145"/>
      <c r="K17" s="145"/>
      <c r="L17" s="145"/>
      <c r="M17" s="145"/>
      <c r="N17" s="145"/>
      <c r="O17" s="145"/>
      <c r="P17" s="145"/>
      <c r="Q17" s="145"/>
      <c r="R17" s="145"/>
      <c r="S17" s="145"/>
      <c r="T17" s="145"/>
      <c r="U17" s="145"/>
      <c r="V17" s="145"/>
      <c r="W17" s="145"/>
      <c r="X17" s="145"/>
      <c r="Y17" s="145"/>
      <c r="Z17" s="145"/>
    </row>
    <row r="18" spans="1:26" ht="15.75" x14ac:dyDescent="0.25">
      <c r="A18" s="399" t="s">
        <v>165</v>
      </c>
      <c r="B18" s="395"/>
      <c r="C18" s="395"/>
      <c r="D18" s="395"/>
      <c r="E18" s="396"/>
      <c r="F18" s="151">
        <v>3.3</v>
      </c>
      <c r="G18" s="155" t="s">
        <v>12</v>
      </c>
      <c r="I18" s="145"/>
      <c r="J18" s="145"/>
      <c r="K18" s="145"/>
      <c r="L18" s="145"/>
      <c r="M18" s="145"/>
      <c r="N18" s="145"/>
      <c r="O18" s="145"/>
      <c r="P18" s="145"/>
      <c r="Q18" s="145"/>
      <c r="R18" s="145"/>
      <c r="S18" s="145"/>
      <c r="T18" s="145"/>
      <c r="U18" s="145"/>
      <c r="V18" s="145"/>
      <c r="W18" s="145"/>
      <c r="X18" s="145"/>
      <c r="Y18" s="145"/>
      <c r="Z18" s="145"/>
    </row>
    <row r="19" spans="1:26" ht="15.75" x14ac:dyDescent="0.25">
      <c r="A19" s="421" t="s">
        <v>13</v>
      </c>
      <c r="B19" s="395"/>
      <c r="C19" s="395"/>
      <c r="D19" s="395"/>
      <c r="E19" s="396"/>
      <c r="F19" s="156">
        <f>(F18*1000)/250*1.7</f>
        <v>22.439999999999998</v>
      </c>
      <c r="G19" s="157" t="s">
        <v>14</v>
      </c>
      <c r="H19" s="145"/>
      <c r="I19" s="145"/>
      <c r="J19" s="145"/>
      <c r="K19" s="145"/>
      <c r="L19" s="145"/>
      <c r="M19" s="145"/>
      <c r="N19" s="145"/>
      <c r="O19" s="145"/>
      <c r="P19" s="145"/>
      <c r="Q19" s="145"/>
      <c r="R19" s="145"/>
      <c r="S19" s="145"/>
      <c r="T19" s="145"/>
      <c r="U19" s="145"/>
      <c r="V19" s="145"/>
      <c r="W19" s="145"/>
      <c r="X19" s="145"/>
      <c r="Y19" s="145"/>
      <c r="Z19" s="145"/>
    </row>
    <row r="20" spans="1:26" ht="15.75" x14ac:dyDescent="0.25">
      <c r="A20" s="399" t="s">
        <v>166</v>
      </c>
      <c r="B20" s="395"/>
      <c r="C20" s="395"/>
      <c r="D20" s="395"/>
      <c r="E20" s="396"/>
      <c r="F20" s="158">
        <v>880</v>
      </c>
      <c r="G20" s="145" t="s">
        <v>25</v>
      </c>
      <c r="H20" s="145" t="s">
        <v>26</v>
      </c>
      <c r="I20" s="145"/>
      <c r="J20" s="145"/>
      <c r="K20" s="145"/>
      <c r="L20" s="145"/>
      <c r="M20" s="145"/>
      <c r="N20" s="145"/>
      <c r="O20" s="145"/>
      <c r="P20" s="145"/>
      <c r="Q20" s="145"/>
      <c r="R20" s="145"/>
      <c r="S20" s="145"/>
      <c r="T20" s="145"/>
      <c r="U20" s="145"/>
      <c r="V20" s="145"/>
      <c r="W20" s="145"/>
      <c r="X20" s="145"/>
      <c r="Y20" s="145"/>
      <c r="Z20" s="145"/>
    </row>
    <row r="21" spans="1:26" ht="15.75" customHeight="1" x14ac:dyDescent="0.25">
      <c r="A21" s="419" t="s">
        <v>167</v>
      </c>
      <c r="B21" s="395"/>
      <c r="C21" s="395"/>
      <c r="D21" s="395"/>
      <c r="E21" s="396"/>
      <c r="F21" s="159">
        <f>(F18)*F20</f>
        <v>2904</v>
      </c>
      <c r="G21" s="157" t="s">
        <v>27</v>
      </c>
      <c r="H21" s="145"/>
      <c r="I21" s="145"/>
      <c r="J21" s="145"/>
      <c r="K21" s="145"/>
      <c r="L21" s="145"/>
      <c r="M21" s="145"/>
      <c r="N21" s="145"/>
      <c r="O21" s="145"/>
      <c r="P21" s="145"/>
      <c r="Q21" s="145"/>
      <c r="R21" s="145"/>
      <c r="S21" s="145"/>
      <c r="T21" s="145"/>
      <c r="U21" s="145"/>
      <c r="V21" s="145"/>
      <c r="W21" s="145"/>
      <c r="X21" s="145"/>
      <c r="Y21" s="145"/>
      <c r="Z21" s="145"/>
    </row>
    <row r="22" spans="1:26" ht="15.75" x14ac:dyDescent="0.25">
      <c r="A22" s="399" t="s">
        <v>28</v>
      </c>
      <c r="B22" s="395"/>
      <c r="C22" s="395"/>
      <c r="D22" s="395"/>
      <c r="E22" s="396"/>
      <c r="F22" s="160">
        <v>-5.0000000000000001E-3</v>
      </c>
      <c r="G22" s="145" t="s">
        <v>8</v>
      </c>
      <c r="H22" s="145" t="s">
        <v>29</v>
      </c>
      <c r="I22" s="145"/>
      <c r="J22" s="145"/>
      <c r="K22" s="145"/>
      <c r="L22" s="145"/>
      <c r="M22" s="145"/>
      <c r="N22" s="145"/>
      <c r="O22" s="145"/>
      <c r="P22" s="145"/>
      <c r="Q22" s="145"/>
      <c r="R22" s="145"/>
      <c r="S22" s="145"/>
      <c r="T22" s="145"/>
      <c r="U22" s="145"/>
      <c r="V22" s="145"/>
      <c r="W22" s="145"/>
      <c r="X22" s="145"/>
      <c r="Y22" s="145"/>
      <c r="Z22" s="145"/>
    </row>
    <row r="23" spans="1:26" ht="15.75" x14ac:dyDescent="0.25">
      <c r="A23" s="413" t="s">
        <v>225</v>
      </c>
      <c r="B23" s="395"/>
      <c r="C23" s="395"/>
      <c r="D23" s="395"/>
      <c r="E23" s="396"/>
      <c r="F23" s="161">
        <v>0.1</v>
      </c>
      <c r="G23" s="162"/>
      <c r="H23" s="145" t="s">
        <v>168</v>
      </c>
      <c r="I23" s="162"/>
      <c r="J23" s="162"/>
      <c r="K23" s="162"/>
      <c r="L23" s="162"/>
      <c r="M23" s="162"/>
      <c r="N23" s="162"/>
      <c r="O23" s="162"/>
      <c r="P23" s="162"/>
      <c r="Q23" s="162"/>
      <c r="R23" s="162"/>
      <c r="S23" s="162"/>
      <c r="T23" s="162"/>
      <c r="U23" s="162"/>
      <c r="V23" s="162"/>
      <c r="W23" s="162"/>
      <c r="X23" s="162"/>
      <c r="Y23" s="162"/>
      <c r="Z23" s="162"/>
    </row>
    <row r="24" spans="1:26" ht="15.75" customHeight="1" x14ac:dyDescent="0.25">
      <c r="A24" s="420" t="s">
        <v>169</v>
      </c>
      <c r="B24" s="395"/>
      <c r="C24" s="395"/>
      <c r="D24" s="395"/>
      <c r="E24" s="396"/>
      <c r="F24" s="151">
        <v>2</v>
      </c>
      <c r="G24" s="145" t="s">
        <v>3</v>
      </c>
      <c r="H24" s="145" t="s">
        <v>170</v>
      </c>
      <c r="I24" s="145"/>
      <c r="J24" s="145"/>
      <c r="K24" s="145"/>
      <c r="L24" s="145"/>
      <c r="M24" s="145"/>
      <c r="N24" s="145"/>
      <c r="O24" s="145"/>
      <c r="P24" s="145"/>
      <c r="Q24" s="145"/>
      <c r="R24" s="145"/>
      <c r="S24" s="145"/>
      <c r="T24" s="145"/>
      <c r="U24" s="145"/>
      <c r="V24" s="145"/>
      <c r="W24" s="145"/>
      <c r="X24" s="145"/>
      <c r="Y24" s="145"/>
      <c r="Z24" s="145"/>
    </row>
    <row r="25" spans="1:26" ht="15.75" x14ac:dyDescent="0.25">
      <c r="A25" s="163"/>
      <c r="B25" s="163"/>
      <c r="C25" s="163"/>
      <c r="D25" s="163"/>
      <c r="E25" s="163"/>
      <c r="F25" s="164"/>
      <c r="G25" s="162"/>
      <c r="H25" s="162"/>
      <c r="I25" s="162"/>
      <c r="J25" s="162"/>
      <c r="K25" s="162"/>
      <c r="L25" s="162"/>
      <c r="M25" s="162"/>
      <c r="N25" s="162"/>
      <c r="O25" s="162"/>
      <c r="P25" s="162"/>
      <c r="Q25" s="162"/>
      <c r="R25" s="162"/>
      <c r="S25" s="162"/>
      <c r="T25" s="162"/>
      <c r="U25" s="162"/>
      <c r="V25" s="162"/>
      <c r="W25" s="162"/>
      <c r="X25" s="162"/>
      <c r="Y25" s="162"/>
      <c r="Z25" s="162"/>
    </row>
    <row r="26" spans="1:26" ht="15.75" x14ac:dyDescent="0.25">
      <c r="A26" s="165" t="s">
        <v>171</v>
      </c>
      <c r="B26" s="163"/>
      <c r="C26" s="163"/>
      <c r="D26" s="163"/>
      <c r="E26" s="163"/>
      <c r="F26" s="164"/>
      <c r="G26" s="162"/>
      <c r="H26" s="162"/>
      <c r="I26" s="162"/>
      <c r="J26" s="162"/>
      <c r="K26" s="162"/>
      <c r="L26" s="162"/>
      <c r="M26" s="162"/>
      <c r="N26" s="162"/>
      <c r="O26" s="162"/>
      <c r="P26" s="162"/>
      <c r="Q26" s="162"/>
      <c r="R26" s="162"/>
      <c r="S26" s="162"/>
      <c r="T26" s="162"/>
      <c r="U26" s="162"/>
      <c r="V26" s="162"/>
      <c r="W26" s="162"/>
      <c r="X26" s="162"/>
      <c r="Y26" s="162"/>
      <c r="Z26" s="162"/>
    </row>
    <row r="27" spans="1:26" ht="15.75" x14ac:dyDescent="0.25">
      <c r="A27" s="399" t="s">
        <v>172</v>
      </c>
      <c r="B27" s="395"/>
      <c r="C27" s="395"/>
      <c r="D27" s="395"/>
      <c r="E27" s="396"/>
      <c r="F27" s="166">
        <v>5950</v>
      </c>
      <c r="G27" s="145" t="s">
        <v>15</v>
      </c>
      <c r="H27" s="145" t="s">
        <v>273</v>
      </c>
      <c r="I27" s="145"/>
      <c r="J27" s="145"/>
      <c r="K27" s="145"/>
      <c r="L27" s="145"/>
      <c r="M27" s="145"/>
      <c r="N27" s="145"/>
      <c r="O27" s="145"/>
      <c r="P27" s="145"/>
      <c r="Q27" s="145"/>
      <c r="R27" s="145"/>
      <c r="S27" s="145"/>
      <c r="T27" s="145"/>
      <c r="U27" s="145"/>
      <c r="V27" s="145"/>
      <c r="W27" s="145"/>
      <c r="X27" s="145"/>
      <c r="Y27" s="145"/>
      <c r="Z27" s="145"/>
    </row>
    <row r="28" spans="1:26" ht="15.75" x14ac:dyDescent="0.25">
      <c r="A28" s="421" t="s">
        <v>16</v>
      </c>
      <c r="B28" s="395"/>
      <c r="C28" s="395"/>
      <c r="D28" s="395"/>
      <c r="E28" s="396"/>
      <c r="F28" s="167">
        <f>F27/F18</f>
        <v>1803.0303030303032</v>
      </c>
      <c r="G28" s="157" t="s">
        <v>17</v>
      </c>
      <c r="H28" s="145"/>
      <c r="I28" s="145"/>
      <c r="J28" s="145"/>
      <c r="K28" s="145"/>
      <c r="L28" s="145"/>
      <c r="M28" s="145"/>
      <c r="N28" s="145"/>
      <c r="O28" s="145"/>
      <c r="P28" s="145"/>
      <c r="Q28" s="145"/>
      <c r="R28" s="145"/>
      <c r="S28" s="145"/>
      <c r="T28" s="145"/>
      <c r="U28" s="145"/>
      <c r="V28" s="145"/>
      <c r="W28" s="145"/>
      <c r="X28" s="145"/>
      <c r="Y28" s="145"/>
      <c r="Z28" s="145"/>
    </row>
    <row r="29" spans="1:26" ht="15.75" x14ac:dyDescent="0.25">
      <c r="A29" s="420" t="s">
        <v>173</v>
      </c>
      <c r="B29" s="395"/>
      <c r="C29" s="395"/>
      <c r="D29" s="395"/>
      <c r="E29" s="396"/>
      <c r="F29" s="161">
        <v>0.1</v>
      </c>
      <c r="G29" s="145"/>
      <c r="H29" s="145" t="s">
        <v>278</v>
      </c>
      <c r="I29" s="145"/>
      <c r="J29" s="145"/>
      <c r="K29" s="145"/>
      <c r="L29" s="145"/>
      <c r="M29" s="145"/>
      <c r="N29" s="145"/>
      <c r="O29" s="145"/>
      <c r="P29" s="145"/>
      <c r="Q29" s="145"/>
      <c r="R29" s="145"/>
      <c r="S29" s="145"/>
      <c r="T29" s="145"/>
      <c r="U29" s="145"/>
      <c r="V29" s="145"/>
      <c r="W29" s="145"/>
      <c r="X29" s="145"/>
      <c r="Y29" s="145"/>
      <c r="Z29" s="145"/>
    </row>
    <row r="30" spans="1:26" ht="15.75" customHeight="1" x14ac:dyDescent="0.25">
      <c r="A30" s="420" t="s">
        <v>21</v>
      </c>
      <c r="B30" s="395"/>
      <c r="C30" s="395"/>
      <c r="D30" s="395"/>
      <c r="E30" s="396"/>
      <c r="F30" s="168">
        <v>0</v>
      </c>
      <c r="G30" s="145" t="s">
        <v>15</v>
      </c>
      <c r="H30" s="145"/>
      <c r="I30" s="145"/>
      <c r="J30" s="145"/>
      <c r="K30" s="145"/>
      <c r="L30" s="145"/>
      <c r="M30" s="145"/>
      <c r="N30" s="145"/>
      <c r="O30" s="145"/>
      <c r="P30" s="145"/>
      <c r="Q30" s="145"/>
      <c r="R30" s="145"/>
      <c r="S30" s="145"/>
      <c r="T30" s="145"/>
      <c r="U30" s="145"/>
      <c r="V30" s="145"/>
      <c r="W30" s="145"/>
      <c r="X30" s="145"/>
      <c r="Y30" s="145"/>
      <c r="Z30" s="145"/>
    </row>
    <row r="31" spans="1:26" ht="15.75" x14ac:dyDescent="0.25">
      <c r="A31" s="412" t="s">
        <v>22</v>
      </c>
      <c r="B31" s="395"/>
      <c r="C31" s="395"/>
      <c r="D31" s="395"/>
      <c r="E31" s="395"/>
      <c r="F31" s="167">
        <f>F27-(F27*F29)-F30</f>
        <v>5355</v>
      </c>
      <c r="G31" s="157" t="s">
        <v>15</v>
      </c>
      <c r="H31" s="145" t="s">
        <v>232</v>
      </c>
      <c r="I31" s="145"/>
      <c r="J31" s="145"/>
      <c r="K31" s="145"/>
      <c r="L31" s="145"/>
      <c r="M31" s="145"/>
      <c r="N31" s="145"/>
      <c r="O31" s="145"/>
      <c r="P31" s="145"/>
      <c r="Q31" s="145"/>
      <c r="R31" s="145"/>
      <c r="S31" s="145"/>
      <c r="T31" s="145"/>
      <c r="U31" s="145"/>
      <c r="V31" s="145"/>
      <c r="W31" s="145"/>
      <c r="X31" s="145"/>
      <c r="Y31" s="145"/>
      <c r="Z31" s="145"/>
    </row>
    <row r="32" spans="1:26" ht="15.75" x14ac:dyDescent="0.25">
      <c r="A32" s="413" t="s">
        <v>174</v>
      </c>
      <c r="B32" s="395"/>
      <c r="C32" s="395"/>
      <c r="D32" s="395"/>
      <c r="E32" s="395"/>
      <c r="F32" s="169">
        <v>0</v>
      </c>
      <c r="G32" s="145"/>
      <c r="I32" s="145"/>
      <c r="J32" s="145"/>
      <c r="K32" s="145"/>
      <c r="L32" s="145"/>
      <c r="M32" s="145"/>
      <c r="N32" s="145"/>
      <c r="O32" s="145"/>
      <c r="P32" s="145"/>
      <c r="Q32" s="145"/>
      <c r="R32" s="145"/>
      <c r="S32" s="145"/>
      <c r="T32" s="145"/>
      <c r="U32" s="145"/>
      <c r="V32" s="145"/>
      <c r="W32" s="145"/>
      <c r="X32" s="145"/>
      <c r="Y32" s="145"/>
      <c r="Z32" s="145"/>
    </row>
    <row r="33" spans="1:30" ht="15.75" x14ac:dyDescent="0.25">
      <c r="A33" s="413" t="s">
        <v>175</v>
      </c>
      <c r="B33" s="395"/>
      <c r="C33" s="395"/>
      <c r="D33" s="395"/>
      <c r="E33" s="395"/>
      <c r="F33" s="170">
        <v>0</v>
      </c>
      <c r="G33" s="145" t="s">
        <v>37</v>
      </c>
      <c r="H33" s="145"/>
      <c r="I33" s="145"/>
      <c r="J33" s="145"/>
      <c r="K33" s="145"/>
      <c r="L33" s="145"/>
      <c r="M33" s="145"/>
      <c r="N33" s="145"/>
      <c r="O33" s="145"/>
      <c r="P33" s="145"/>
      <c r="Q33" s="145"/>
      <c r="R33" s="145"/>
      <c r="S33" s="145"/>
      <c r="T33" s="145"/>
      <c r="U33" s="145"/>
      <c r="V33" s="145"/>
      <c r="W33" s="145"/>
      <c r="X33" s="145"/>
      <c r="Y33" s="145"/>
      <c r="Z33" s="145"/>
    </row>
    <row r="34" spans="1:30" ht="15.75" x14ac:dyDescent="0.25">
      <c r="A34" s="413" t="s">
        <v>176</v>
      </c>
      <c r="B34" s="395"/>
      <c r="C34" s="395"/>
      <c r="D34" s="395"/>
      <c r="E34" s="395"/>
      <c r="F34" s="171">
        <v>0</v>
      </c>
      <c r="G34" s="145"/>
      <c r="H34" s="145"/>
      <c r="I34" s="145"/>
      <c r="J34" s="145"/>
      <c r="K34" s="145"/>
      <c r="L34" s="145"/>
      <c r="M34" s="145"/>
      <c r="N34" s="145"/>
      <c r="O34" s="145"/>
      <c r="P34" s="145"/>
      <c r="Q34" s="145"/>
      <c r="R34" s="145"/>
      <c r="S34" s="145"/>
      <c r="T34" s="145"/>
      <c r="U34" s="145"/>
      <c r="V34" s="145"/>
      <c r="W34" s="145"/>
      <c r="X34" s="145"/>
      <c r="Y34" s="145"/>
      <c r="Z34" s="145"/>
    </row>
    <row r="35" spans="1:30" ht="15.75" x14ac:dyDescent="0.25">
      <c r="A35" s="412" t="s">
        <v>177</v>
      </c>
      <c r="B35" s="395"/>
      <c r="C35" s="395"/>
      <c r="D35" s="395"/>
      <c r="E35" s="395"/>
      <c r="F35" s="172">
        <f>IFERROR(F32/F33,0)</f>
        <v>0</v>
      </c>
      <c r="G35" s="157" t="s">
        <v>178</v>
      </c>
      <c r="H35" s="145" t="s">
        <v>4</v>
      </c>
      <c r="I35" s="145"/>
      <c r="J35" s="145"/>
      <c r="K35" s="145"/>
      <c r="L35" s="145"/>
      <c r="M35" s="145"/>
      <c r="N35" s="145"/>
      <c r="O35" s="145"/>
      <c r="P35" s="145"/>
      <c r="Q35" s="145"/>
      <c r="R35" s="145"/>
      <c r="S35" s="145"/>
      <c r="T35" s="145"/>
      <c r="U35" s="145"/>
      <c r="V35" s="145"/>
      <c r="W35" s="145"/>
      <c r="X35" s="145"/>
      <c r="Y35" s="145"/>
      <c r="Z35" s="145"/>
    </row>
    <row r="36" spans="1:30" ht="15.75" x14ac:dyDescent="0.25">
      <c r="A36" s="413" t="s">
        <v>23</v>
      </c>
      <c r="B36" s="395"/>
      <c r="C36" s="395"/>
      <c r="D36" s="395"/>
      <c r="E36" s="395"/>
      <c r="F36" s="160">
        <v>0</v>
      </c>
      <c r="G36" s="145"/>
      <c r="H36" s="145" t="s">
        <v>179</v>
      </c>
      <c r="I36" s="145"/>
      <c r="J36" s="145"/>
      <c r="K36" s="145"/>
      <c r="L36" s="145"/>
      <c r="M36" s="145"/>
      <c r="N36" s="145"/>
      <c r="O36" s="145"/>
      <c r="P36" s="145"/>
      <c r="Q36" s="145"/>
      <c r="R36" s="145"/>
      <c r="S36" s="145"/>
      <c r="T36" s="145"/>
      <c r="U36" s="145"/>
      <c r="V36" s="145"/>
      <c r="W36" s="145"/>
      <c r="X36" s="145"/>
      <c r="Y36" s="145"/>
      <c r="Z36" s="145"/>
    </row>
    <row r="37" spans="1:30" ht="15.75" x14ac:dyDescent="0.25">
      <c r="A37" s="414" t="s">
        <v>24</v>
      </c>
      <c r="B37" s="408"/>
      <c r="C37" s="408"/>
      <c r="D37" s="408"/>
      <c r="E37" s="409"/>
      <c r="F37" s="173">
        <v>0.08</v>
      </c>
      <c r="G37" s="145"/>
      <c r="H37" s="145" t="s">
        <v>180</v>
      </c>
      <c r="I37" s="145"/>
      <c r="J37" s="145"/>
      <c r="K37" s="145"/>
      <c r="L37" s="145"/>
      <c r="M37" s="145"/>
      <c r="N37" s="145"/>
      <c r="O37" s="145"/>
      <c r="P37" s="145"/>
      <c r="Q37" s="145"/>
      <c r="R37" s="145"/>
      <c r="S37" s="145"/>
      <c r="T37" s="145"/>
      <c r="U37" s="145"/>
      <c r="V37" s="145"/>
      <c r="W37" s="145"/>
      <c r="X37" s="145"/>
      <c r="Y37" s="145"/>
      <c r="Z37" s="145"/>
    </row>
    <row r="38" spans="1:30" ht="15.75" x14ac:dyDescent="0.25">
      <c r="A38" s="399" t="s">
        <v>231</v>
      </c>
      <c r="B38" s="395"/>
      <c r="C38" s="395"/>
      <c r="D38" s="395"/>
      <c r="E38" s="396"/>
      <c r="F38" s="169">
        <v>20</v>
      </c>
      <c r="G38" s="145" t="s">
        <v>15</v>
      </c>
      <c r="H38" s="145" t="s">
        <v>273</v>
      </c>
      <c r="I38" s="145"/>
      <c r="J38" s="145"/>
      <c r="K38" s="145"/>
      <c r="L38" s="145"/>
      <c r="M38" s="145"/>
      <c r="N38" s="145"/>
      <c r="O38" s="145"/>
      <c r="P38" s="145"/>
      <c r="Q38" s="145"/>
      <c r="R38" s="145"/>
      <c r="S38" s="145"/>
      <c r="T38" s="145"/>
      <c r="U38" s="145"/>
      <c r="V38" s="145"/>
      <c r="W38" s="145"/>
      <c r="X38" s="145"/>
      <c r="Y38" s="145"/>
      <c r="Z38" s="145"/>
    </row>
    <row r="39" spans="1:30" ht="15.75" customHeight="1" x14ac:dyDescent="0.25">
      <c r="A39" s="174"/>
      <c r="B39" s="175"/>
      <c r="C39" s="175"/>
      <c r="D39" s="176"/>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1:30" ht="15.75" x14ac:dyDescent="0.25">
      <c r="A40" s="177" t="s">
        <v>181</v>
      </c>
      <c r="B40" s="145"/>
      <c r="C40" s="145"/>
      <c r="D40" s="145"/>
      <c r="E40" s="145"/>
      <c r="F40" s="145"/>
      <c r="G40" s="145"/>
      <c r="H40" s="178"/>
      <c r="I40" s="145"/>
      <c r="J40" s="145"/>
      <c r="K40" s="145"/>
      <c r="L40" s="145"/>
      <c r="M40" s="145"/>
      <c r="N40" s="145"/>
      <c r="O40" s="145"/>
      <c r="P40" s="145"/>
      <c r="Q40" s="145"/>
      <c r="R40" s="145"/>
      <c r="S40" s="145"/>
      <c r="T40" s="145"/>
      <c r="U40" s="145"/>
      <c r="V40" s="145"/>
      <c r="W40" s="145"/>
      <c r="X40" s="145"/>
      <c r="Y40" s="145"/>
      <c r="Z40" s="145"/>
    </row>
    <row r="41" spans="1:30" ht="15.75" x14ac:dyDescent="0.25">
      <c r="B41" s="145"/>
      <c r="C41" s="145"/>
      <c r="D41" s="145"/>
      <c r="E41" s="145"/>
      <c r="F41" s="145"/>
      <c r="G41" s="145"/>
      <c r="H41" s="178"/>
      <c r="I41" s="145"/>
      <c r="J41" s="145"/>
      <c r="K41" s="145"/>
      <c r="L41" s="145"/>
      <c r="M41" s="145"/>
      <c r="N41" s="145"/>
      <c r="O41" s="145"/>
      <c r="P41" s="145"/>
      <c r="Q41" s="145"/>
      <c r="R41" s="145"/>
      <c r="S41" s="145"/>
      <c r="T41" s="145"/>
      <c r="U41" s="145"/>
      <c r="V41" s="145"/>
      <c r="W41" s="145"/>
      <c r="X41" s="145"/>
      <c r="Y41" s="145"/>
      <c r="Z41" s="145"/>
    </row>
    <row r="42" spans="1:30" ht="15.6" customHeight="1" x14ac:dyDescent="0.25">
      <c r="A42" s="415" t="s">
        <v>182</v>
      </c>
      <c r="B42" s="396"/>
      <c r="C42" s="416" t="s">
        <v>183</v>
      </c>
      <c r="D42" s="396"/>
      <c r="E42" s="417" t="s">
        <v>184</v>
      </c>
      <c r="F42" s="418"/>
      <c r="G42" s="418"/>
      <c r="H42" s="418"/>
      <c r="I42" s="418"/>
      <c r="J42" s="418"/>
      <c r="K42" s="418"/>
      <c r="L42" s="401" t="s">
        <v>185</v>
      </c>
      <c r="M42" s="401"/>
      <c r="N42" s="402"/>
      <c r="P42" s="403" t="s">
        <v>186</v>
      </c>
      <c r="Q42" s="403"/>
      <c r="R42" s="403"/>
      <c r="S42" s="179"/>
      <c r="T42" s="180"/>
      <c r="U42" s="180"/>
      <c r="V42" s="180"/>
      <c r="W42" s="180"/>
      <c r="X42" s="180"/>
      <c r="Y42" s="180"/>
      <c r="Z42" s="180"/>
      <c r="AA42" s="180"/>
      <c r="AB42" s="180"/>
      <c r="AC42" s="180"/>
      <c r="AD42" s="180"/>
    </row>
    <row r="43" spans="1:30" ht="61.5" customHeight="1" x14ac:dyDescent="0.25">
      <c r="A43" s="181" t="s">
        <v>141</v>
      </c>
      <c r="B43" s="181" t="s">
        <v>187</v>
      </c>
      <c r="C43" s="182" t="s">
        <v>188</v>
      </c>
      <c r="D43" s="183" t="s">
        <v>189</v>
      </c>
      <c r="E43" s="184" t="s">
        <v>116</v>
      </c>
      <c r="F43" s="184" t="s">
        <v>190</v>
      </c>
      <c r="G43" s="185" t="s">
        <v>191</v>
      </c>
      <c r="H43" s="184" t="s">
        <v>147</v>
      </c>
      <c r="I43" s="184" t="s">
        <v>148</v>
      </c>
      <c r="J43" s="184" t="s">
        <v>149</v>
      </c>
      <c r="K43" s="185" t="s">
        <v>192</v>
      </c>
      <c r="L43" s="186" t="s">
        <v>193</v>
      </c>
      <c r="M43" s="187" t="s">
        <v>194</v>
      </c>
      <c r="N43" s="181" t="s">
        <v>195</v>
      </c>
      <c r="O43" s="188" t="s">
        <v>196</v>
      </c>
      <c r="P43" s="189" t="s">
        <v>197</v>
      </c>
      <c r="Q43" s="189" t="s">
        <v>198</v>
      </c>
      <c r="R43" s="189" t="s">
        <v>199</v>
      </c>
      <c r="S43" s="190"/>
      <c r="T43" s="191"/>
      <c r="U43" s="191"/>
      <c r="V43" s="191"/>
      <c r="W43" s="191"/>
      <c r="X43" s="191"/>
      <c r="Y43" s="191"/>
      <c r="Z43" s="191"/>
      <c r="AA43" s="191"/>
      <c r="AB43" s="191"/>
    </row>
    <row r="44" spans="1:30" ht="15.75" x14ac:dyDescent="0.25">
      <c r="A44" s="192">
        <v>0</v>
      </c>
      <c r="B44" s="193" t="s">
        <v>4</v>
      </c>
      <c r="C44" s="194" t="s">
        <v>4</v>
      </c>
      <c r="D44" s="195" t="s">
        <v>4</v>
      </c>
      <c r="E44" s="196">
        <f>(0)</f>
        <v>0</v>
      </c>
      <c r="F44" s="197">
        <f>IF((F33&gt;0),0,$F$31)</f>
        <v>5355</v>
      </c>
      <c r="G44" s="198">
        <v>0</v>
      </c>
      <c r="H44" s="198" t="str">
        <f>IF(F32&gt;0,(F32),"")</f>
        <v/>
      </c>
      <c r="I44" s="198">
        <f>IF(OR(H44="",H44=0),0,F31-F32)</f>
        <v>0</v>
      </c>
      <c r="J44" s="199"/>
      <c r="K44" s="200">
        <f>IFERROR(F44+G44+I44+J44,J44)</f>
        <v>5355</v>
      </c>
      <c r="L44" s="201" t="s">
        <v>4</v>
      </c>
      <c r="M44" s="202" t="s">
        <v>4</v>
      </c>
      <c r="N44" s="203" t="s">
        <v>4</v>
      </c>
      <c r="O44" s="204">
        <f>-K44</f>
        <v>-5355</v>
      </c>
      <c r="P44" s="205">
        <f>$O44</f>
        <v>-5355</v>
      </c>
      <c r="Q44" s="206" t="s">
        <v>4</v>
      </c>
      <c r="R44" s="192">
        <f t="shared" ref="R44:R74" si="0">IF(Q44&lt;0,1,0)</f>
        <v>0</v>
      </c>
      <c r="S44" s="207"/>
      <c r="T44" s="150"/>
      <c r="U44" s="145"/>
      <c r="V44" s="145"/>
      <c r="W44" s="145"/>
      <c r="X44" s="145"/>
      <c r="Y44" s="145"/>
      <c r="Z44" s="145"/>
      <c r="AA44" s="145"/>
      <c r="AB44" s="145"/>
      <c r="AC44" s="145"/>
    </row>
    <row r="45" spans="1:30" ht="15.75" x14ac:dyDescent="0.25">
      <c r="A45" s="192">
        <v>1</v>
      </c>
      <c r="B45" s="193">
        <f>F21</f>
        <v>2904</v>
      </c>
      <c r="C45" s="208">
        <f>(F14/100)</f>
        <v>0.14122514999999999</v>
      </c>
      <c r="D45" s="195">
        <f t="shared" ref="D45:D74" si="1">B45*C45</f>
        <v>410.11783559999998</v>
      </c>
      <c r="E45" s="196" t="str">
        <f>IF(OR(H44="",H44=0),"",E44+1)</f>
        <v/>
      </c>
      <c r="F45" s="197" t="str">
        <f>IF(E45="","",$F$35)</f>
        <v/>
      </c>
      <c r="G45" s="198" t="str">
        <f>IF(E45="","",((H44*$F$34)))</f>
        <v/>
      </c>
      <c r="H45" s="198" t="str">
        <f>IFERROR(ROUND(IF(E45="","",($H$44-SUM($F$44:F45))),2),"")</f>
        <v/>
      </c>
      <c r="I45" s="198"/>
      <c r="J45" s="199">
        <f t="shared" ref="J45:J57" si="2">$F$38</f>
        <v>20</v>
      </c>
      <c r="K45" s="200">
        <f>IFERROR(F45+G45+I45+J45,J45)</f>
        <v>20</v>
      </c>
      <c r="L45" s="201">
        <f>F24/100</f>
        <v>0.02</v>
      </c>
      <c r="M45" s="202">
        <f t="shared" ref="M45:M74" si="3">B45*$F$23*L45</f>
        <v>5.8080000000000007</v>
      </c>
      <c r="N45" s="203">
        <f t="shared" ref="N45:N74" si="4">D45*(1-$F$23)+M45</f>
        <v>374.91405204</v>
      </c>
      <c r="O45" s="204">
        <f t="shared" ref="O45:O74" si="5">N45-K45</f>
        <v>354.91405204</v>
      </c>
      <c r="P45" s="205">
        <f t="shared" ref="P45:P74" si="6">P44+$O45</f>
        <v>-5000.0859479600003</v>
      </c>
      <c r="Q45" s="209">
        <f>NPV($F$36,O44:O45)</f>
        <v>-5000.0859479600003</v>
      </c>
      <c r="R45" s="192">
        <f t="shared" si="0"/>
        <v>1</v>
      </c>
      <c r="S45" s="207"/>
      <c r="T45" s="150"/>
      <c r="U45" s="145"/>
      <c r="V45" s="145"/>
      <c r="W45" s="145"/>
      <c r="X45" s="145"/>
      <c r="Y45" s="145"/>
      <c r="Z45" s="145"/>
      <c r="AA45" s="145"/>
      <c r="AB45" s="145"/>
      <c r="AC45" s="145"/>
    </row>
    <row r="46" spans="1:30" ht="15.75" x14ac:dyDescent="0.25">
      <c r="A46" s="192">
        <v>2</v>
      </c>
      <c r="B46" s="193">
        <f t="shared" ref="B46:B74" si="7">$F$22*B45+B45</f>
        <v>2889.48</v>
      </c>
      <c r="C46" s="208">
        <f t="shared" ref="C46:C74" si="8">(1+$F$15)*C45</f>
        <v>0.14263740149999998</v>
      </c>
      <c r="D46" s="195">
        <f t="shared" si="1"/>
        <v>412.14791888621994</v>
      </c>
      <c r="E46" s="196" t="str">
        <f>IF(OR(H45="",H45=0),"",E45+1)</f>
        <v/>
      </c>
      <c r="F46" s="197" t="str">
        <f t="shared" ref="F46:F64" si="9">IF(E46="","",$F$35)</f>
        <v/>
      </c>
      <c r="G46" s="198" t="str">
        <f>IF(E46="","",((H45*$F$34)))</f>
        <v/>
      </c>
      <c r="H46" s="198" t="str">
        <f>IFERROR(ROUND(IF(E46="","",($H$44-SUM($F$44:F46))),2),"")</f>
        <v/>
      </c>
      <c r="I46" s="198"/>
      <c r="J46" s="199">
        <f t="shared" si="2"/>
        <v>20</v>
      </c>
      <c r="K46" s="200">
        <f t="shared" ref="K46:K74" si="10">IFERROR(F46+G46+I46+J46,J46)</f>
        <v>20</v>
      </c>
      <c r="L46" s="201">
        <f t="shared" ref="L46:L74" si="11">(1+$F$15)*L45</f>
        <v>2.0199999999999999E-2</v>
      </c>
      <c r="M46" s="202">
        <f t="shared" si="3"/>
        <v>5.8367496000000001</v>
      </c>
      <c r="N46" s="203">
        <f t="shared" si="4"/>
        <v>376.769876597598</v>
      </c>
      <c r="O46" s="204">
        <f t="shared" si="5"/>
        <v>356.769876597598</v>
      </c>
      <c r="P46" s="205">
        <f t="shared" si="6"/>
        <v>-4643.316071362402</v>
      </c>
      <c r="Q46" s="209">
        <f>NPV($F$36,O44:O46)</f>
        <v>-4643.316071362402</v>
      </c>
      <c r="R46" s="192">
        <f t="shared" si="0"/>
        <v>1</v>
      </c>
      <c r="S46" s="207"/>
      <c r="T46" s="150"/>
      <c r="U46" s="145"/>
      <c r="V46" s="145"/>
      <c r="W46" s="145"/>
      <c r="X46" s="145"/>
      <c r="Y46" s="145"/>
      <c r="Z46" s="145"/>
      <c r="AA46" s="145"/>
      <c r="AB46" s="145"/>
      <c r="AC46" s="145"/>
    </row>
    <row r="47" spans="1:30" ht="15.75" x14ac:dyDescent="0.25">
      <c r="A47" s="192">
        <v>3</v>
      </c>
      <c r="B47" s="193">
        <f t="shared" si="7"/>
        <v>2875.0326</v>
      </c>
      <c r="C47" s="208">
        <f t="shared" si="8"/>
        <v>0.14406377551499999</v>
      </c>
      <c r="D47" s="195">
        <f t="shared" si="1"/>
        <v>414.18805108470679</v>
      </c>
      <c r="E47" s="196" t="str">
        <f t="shared" ref="E47:E64" si="12">IF(OR(H46="",H46=0),"",E46+1)</f>
        <v/>
      </c>
      <c r="F47" s="197" t="str">
        <f t="shared" si="9"/>
        <v/>
      </c>
      <c r="G47" s="198" t="str">
        <f t="shared" ref="G47:G64" si="13">IF(E47="","",((H46*$F$34)))</f>
        <v/>
      </c>
      <c r="H47" s="198" t="str">
        <f>IFERROR(ROUND(IF(E47="","",($H$44-SUM($F$44:F47))),2),"")</f>
        <v/>
      </c>
      <c r="I47" s="198"/>
      <c r="J47" s="199">
        <f t="shared" si="2"/>
        <v>20</v>
      </c>
      <c r="K47" s="200">
        <f t="shared" si="10"/>
        <v>20</v>
      </c>
      <c r="L47" s="201">
        <f t="shared" si="11"/>
        <v>2.0402E-2</v>
      </c>
      <c r="M47" s="202">
        <f t="shared" si="3"/>
        <v>5.8656415105200006</v>
      </c>
      <c r="N47" s="203">
        <f t="shared" si="4"/>
        <v>378.6348874867561</v>
      </c>
      <c r="O47" s="204">
        <f t="shared" si="5"/>
        <v>358.6348874867561</v>
      </c>
      <c r="P47" s="205">
        <f t="shared" si="6"/>
        <v>-4284.6811838756457</v>
      </c>
      <c r="Q47" s="209">
        <f>NPV($F$36,O44:O47)</f>
        <v>-4284.6811838756457</v>
      </c>
      <c r="R47" s="192">
        <f t="shared" si="0"/>
        <v>1</v>
      </c>
      <c r="S47" s="207"/>
      <c r="T47" s="150"/>
      <c r="U47" s="145"/>
      <c r="V47" s="145"/>
      <c r="W47" s="145"/>
      <c r="X47" s="145"/>
      <c r="Y47" s="145"/>
      <c r="Z47" s="145"/>
      <c r="AA47" s="145"/>
      <c r="AB47" s="145"/>
      <c r="AC47" s="145"/>
    </row>
    <row r="48" spans="1:30" ht="15.75" x14ac:dyDescent="0.25">
      <c r="A48" s="192">
        <v>4</v>
      </c>
      <c r="B48" s="193">
        <f t="shared" si="7"/>
        <v>2860.6574369999998</v>
      </c>
      <c r="C48" s="208">
        <f t="shared" si="8"/>
        <v>0.14550441327014998</v>
      </c>
      <c r="D48" s="195">
        <f t="shared" si="1"/>
        <v>416.23828193757601</v>
      </c>
      <c r="E48" s="196" t="str">
        <f t="shared" si="12"/>
        <v/>
      </c>
      <c r="F48" s="197" t="str">
        <f t="shared" si="9"/>
        <v/>
      </c>
      <c r="G48" s="198" t="str">
        <f t="shared" si="13"/>
        <v/>
      </c>
      <c r="H48" s="198" t="str">
        <f>IFERROR(ROUND(IF(E48="","",($H$44-SUM($F$44:F48))),2),"")</f>
        <v/>
      </c>
      <c r="I48" s="198"/>
      <c r="J48" s="199">
        <f t="shared" si="2"/>
        <v>20</v>
      </c>
      <c r="K48" s="200">
        <f t="shared" si="10"/>
        <v>20</v>
      </c>
      <c r="L48" s="201">
        <f t="shared" si="11"/>
        <v>2.0606019999999999E-2</v>
      </c>
      <c r="M48" s="202">
        <f t="shared" si="3"/>
        <v>5.8946764359970736</v>
      </c>
      <c r="N48" s="203">
        <f t="shared" si="4"/>
        <v>380.50913017981549</v>
      </c>
      <c r="O48" s="204">
        <f t="shared" si="5"/>
        <v>360.50913017981549</v>
      </c>
      <c r="P48" s="205">
        <f t="shared" si="6"/>
        <v>-3924.1720536958301</v>
      </c>
      <c r="Q48" s="209">
        <f>NPV($F$36,O44:O48)</f>
        <v>-3924.1720536958301</v>
      </c>
      <c r="R48" s="192">
        <f t="shared" si="0"/>
        <v>1</v>
      </c>
      <c r="S48" s="207"/>
      <c r="T48" s="150"/>
      <c r="U48" s="145"/>
      <c r="V48" s="145"/>
      <c r="W48" s="145"/>
      <c r="X48" s="145"/>
      <c r="Y48" s="145"/>
      <c r="Z48" s="145"/>
      <c r="AA48" s="145"/>
      <c r="AB48" s="145"/>
      <c r="AC48" s="145"/>
    </row>
    <row r="49" spans="1:29" ht="15.75" x14ac:dyDescent="0.25">
      <c r="A49" s="192">
        <v>5</v>
      </c>
      <c r="B49" s="193">
        <f t="shared" si="7"/>
        <v>2846.3541498149998</v>
      </c>
      <c r="C49" s="208">
        <f t="shared" si="8"/>
        <v>0.14695945740285149</v>
      </c>
      <c r="D49" s="195">
        <f t="shared" si="1"/>
        <v>418.29866143316701</v>
      </c>
      <c r="E49" s="196" t="str">
        <f t="shared" si="12"/>
        <v/>
      </c>
      <c r="F49" s="197" t="str">
        <f t="shared" si="9"/>
        <v/>
      </c>
      <c r="G49" s="198" t="str">
        <f t="shared" si="13"/>
        <v/>
      </c>
      <c r="H49" s="198" t="str">
        <f>IFERROR(ROUND(IF(E49="","",($H$44-SUM($F$44:F49))),2),"")</f>
        <v/>
      </c>
      <c r="I49" s="198"/>
      <c r="J49" s="199">
        <f t="shared" si="2"/>
        <v>20</v>
      </c>
      <c r="K49" s="200">
        <f t="shared" si="10"/>
        <v>20</v>
      </c>
      <c r="L49" s="201">
        <f t="shared" si="11"/>
        <v>2.0812080199999999E-2</v>
      </c>
      <c r="M49" s="202">
        <f t="shared" si="3"/>
        <v>5.9238550843552593</v>
      </c>
      <c r="N49" s="203">
        <f t="shared" si="4"/>
        <v>382.39265037420557</v>
      </c>
      <c r="O49" s="204">
        <f t="shared" si="5"/>
        <v>362.39265037420557</v>
      </c>
      <c r="P49" s="205">
        <f t="shared" si="6"/>
        <v>-3561.7794033216246</v>
      </c>
      <c r="Q49" s="209">
        <f>NPV($F$36,O44:O49)</f>
        <v>-3561.7794033216246</v>
      </c>
      <c r="R49" s="192">
        <f t="shared" si="0"/>
        <v>1</v>
      </c>
      <c r="S49" s="207"/>
      <c r="T49" s="150"/>
      <c r="U49" s="145"/>
      <c r="V49" s="145"/>
      <c r="W49" s="145"/>
      <c r="X49" s="145"/>
      <c r="Y49" s="145"/>
      <c r="Z49" s="145"/>
      <c r="AA49" s="145"/>
      <c r="AB49" s="145"/>
      <c r="AC49" s="145"/>
    </row>
    <row r="50" spans="1:29" ht="15.75" x14ac:dyDescent="0.25">
      <c r="A50" s="192">
        <v>6</v>
      </c>
      <c r="B50" s="193">
        <f t="shared" si="7"/>
        <v>2832.1223790659246</v>
      </c>
      <c r="C50" s="208">
        <f t="shared" si="8"/>
        <v>0.14842905197688</v>
      </c>
      <c r="D50" s="195">
        <f t="shared" si="1"/>
        <v>420.36923980726118</v>
      </c>
      <c r="E50" s="196" t="str">
        <f t="shared" si="12"/>
        <v/>
      </c>
      <c r="F50" s="197" t="str">
        <f t="shared" si="9"/>
        <v/>
      </c>
      <c r="G50" s="198" t="str">
        <f t="shared" si="13"/>
        <v/>
      </c>
      <c r="H50" s="198" t="str">
        <f>IFERROR(ROUND(IF(E50="","",($H$44-SUM($F$44:F50))),2),"")</f>
        <v/>
      </c>
      <c r="I50" s="198"/>
      <c r="J50" s="199">
        <f t="shared" si="2"/>
        <v>20</v>
      </c>
      <c r="K50" s="200">
        <f t="shared" si="10"/>
        <v>20</v>
      </c>
      <c r="L50" s="201">
        <f t="shared" si="11"/>
        <v>2.1020201002E-2</v>
      </c>
      <c r="M50" s="202">
        <f t="shared" si="3"/>
        <v>5.9531781670228172</v>
      </c>
      <c r="N50" s="203">
        <f t="shared" si="4"/>
        <v>384.28549399355791</v>
      </c>
      <c r="O50" s="204">
        <f t="shared" si="5"/>
        <v>364.28549399355791</v>
      </c>
      <c r="P50" s="205">
        <f t="shared" si="6"/>
        <v>-3197.4939093280668</v>
      </c>
      <c r="Q50" s="209">
        <f>NPV($F$36,O44:O50)</f>
        <v>-3197.4939093280668</v>
      </c>
      <c r="R50" s="192">
        <f t="shared" si="0"/>
        <v>1</v>
      </c>
      <c r="S50" s="207"/>
      <c r="T50" s="150"/>
      <c r="U50" s="145"/>
      <c r="V50" s="145"/>
      <c r="W50" s="145"/>
      <c r="X50" s="145"/>
      <c r="Y50" s="145"/>
      <c r="Z50" s="145"/>
      <c r="AA50" s="145"/>
      <c r="AB50" s="145"/>
      <c r="AC50" s="145"/>
    </row>
    <row r="51" spans="1:29" ht="15.75" x14ac:dyDescent="0.25">
      <c r="A51" s="192">
        <v>7</v>
      </c>
      <c r="B51" s="193">
        <f t="shared" si="7"/>
        <v>2817.9617671705951</v>
      </c>
      <c r="C51" s="208">
        <f t="shared" si="8"/>
        <v>0.14991334249664881</v>
      </c>
      <c r="D51" s="195">
        <f t="shared" si="1"/>
        <v>422.45006754430716</v>
      </c>
      <c r="E51" s="196" t="str">
        <f t="shared" si="12"/>
        <v/>
      </c>
      <c r="F51" s="197" t="str">
        <f t="shared" si="9"/>
        <v/>
      </c>
      <c r="G51" s="198" t="str">
        <f t="shared" si="13"/>
        <v/>
      </c>
      <c r="H51" s="198" t="str">
        <f>IFERROR(ROUND(IF(E51="","",($H$44-SUM($F$44:F51))),2),"")</f>
        <v/>
      </c>
      <c r="I51" s="198"/>
      <c r="J51" s="199">
        <f t="shared" si="2"/>
        <v>20</v>
      </c>
      <c r="K51" s="200">
        <f t="shared" si="10"/>
        <v>20</v>
      </c>
      <c r="L51" s="201">
        <f t="shared" si="11"/>
        <v>2.1230403012020001E-2</v>
      </c>
      <c r="M51" s="202">
        <f t="shared" si="3"/>
        <v>5.9826463989495808</v>
      </c>
      <c r="N51" s="203">
        <f t="shared" si="4"/>
        <v>386.18770718882598</v>
      </c>
      <c r="O51" s="204">
        <f t="shared" si="5"/>
        <v>366.18770718882598</v>
      </c>
      <c r="P51" s="205">
        <f t="shared" si="6"/>
        <v>-2831.3062021392407</v>
      </c>
      <c r="Q51" s="209">
        <f>NPV($F$36,O44:O51)</f>
        <v>-2831.3062021392407</v>
      </c>
      <c r="R51" s="192">
        <f t="shared" si="0"/>
        <v>1</v>
      </c>
      <c r="S51" s="207"/>
      <c r="T51" s="150"/>
      <c r="U51" s="145"/>
      <c r="V51" s="145"/>
      <c r="W51" s="145"/>
      <c r="X51" s="145"/>
      <c r="Y51" s="145"/>
      <c r="Z51" s="145"/>
      <c r="AA51" s="145"/>
      <c r="AB51" s="145"/>
      <c r="AC51" s="145"/>
    </row>
    <row r="52" spans="1:29" ht="15.75" x14ac:dyDescent="0.25">
      <c r="A52" s="192">
        <v>8</v>
      </c>
      <c r="B52" s="193">
        <f t="shared" si="7"/>
        <v>2803.871958334742</v>
      </c>
      <c r="C52" s="208">
        <f t="shared" si="8"/>
        <v>0.1514124759216153</v>
      </c>
      <c r="D52" s="195">
        <f t="shared" si="1"/>
        <v>424.54119537865148</v>
      </c>
      <c r="E52" s="196" t="str">
        <f t="shared" si="12"/>
        <v/>
      </c>
      <c r="F52" s="197" t="str">
        <f t="shared" si="9"/>
        <v/>
      </c>
      <c r="G52" s="198" t="str">
        <f t="shared" si="13"/>
        <v/>
      </c>
      <c r="H52" s="198" t="str">
        <f>IFERROR(ROUND(IF(E52="","",($H$44-SUM($F$44:F52))),2),"")</f>
        <v/>
      </c>
      <c r="I52" s="198"/>
      <c r="J52" s="199">
        <f t="shared" si="2"/>
        <v>20</v>
      </c>
      <c r="K52" s="200">
        <f t="shared" si="10"/>
        <v>20</v>
      </c>
      <c r="L52" s="201">
        <f t="shared" si="11"/>
        <v>2.1442707042140203E-2</v>
      </c>
      <c r="M52" s="202">
        <f t="shared" si="3"/>
        <v>6.0122604986243813</v>
      </c>
      <c r="N52" s="203">
        <f t="shared" si="4"/>
        <v>388.09933633941068</v>
      </c>
      <c r="O52" s="204">
        <f t="shared" si="5"/>
        <v>368.09933633941068</v>
      </c>
      <c r="P52" s="205">
        <f t="shared" si="6"/>
        <v>-2463.2068657998298</v>
      </c>
      <c r="Q52" s="209">
        <f>NPV($F$36,O44:O52)</f>
        <v>-2463.2068657998298</v>
      </c>
      <c r="R52" s="192">
        <f t="shared" si="0"/>
        <v>1</v>
      </c>
      <c r="S52" s="207"/>
      <c r="T52" s="150"/>
      <c r="U52" s="145"/>
      <c r="V52" s="145"/>
      <c r="W52" s="145"/>
      <c r="X52" s="145"/>
      <c r="Y52" s="145"/>
      <c r="Z52" s="145"/>
      <c r="AA52" s="145"/>
      <c r="AB52" s="145"/>
      <c r="AC52" s="145"/>
    </row>
    <row r="53" spans="1:29" ht="15.75" x14ac:dyDescent="0.25">
      <c r="A53" s="192">
        <v>9</v>
      </c>
      <c r="B53" s="193">
        <f t="shared" si="7"/>
        <v>2789.8525985430683</v>
      </c>
      <c r="C53" s="208">
        <f t="shared" si="8"/>
        <v>0.15292660068083147</v>
      </c>
      <c r="D53" s="195">
        <f t="shared" si="1"/>
        <v>426.64267429577586</v>
      </c>
      <c r="E53" s="196" t="str">
        <f t="shared" si="12"/>
        <v/>
      </c>
      <c r="F53" s="197" t="str">
        <f t="shared" si="9"/>
        <v/>
      </c>
      <c r="G53" s="198" t="str">
        <f t="shared" si="13"/>
        <v/>
      </c>
      <c r="H53" s="198" t="str">
        <f>IFERROR(ROUND(IF(E53="","",($H$44-SUM($F$44:F53))),2),"")</f>
        <v/>
      </c>
      <c r="I53" s="198"/>
      <c r="J53" s="199">
        <f t="shared" si="2"/>
        <v>20</v>
      </c>
      <c r="K53" s="200">
        <f t="shared" si="10"/>
        <v>20</v>
      </c>
      <c r="L53" s="201">
        <f t="shared" si="11"/>
        <v>2.1657134112561604E-2</v>
      </c>
      <c r="M53" s="202">
        <f t="shared" si="3"/>
        <v>6.0420211880925718</v>
      </c>
      <c r="N53" s="203">
        <f t="shared" si="4"/>
        <v>390.02042805429085</v>
      </c>
      <c r="O53" s="204">
        <f t="shared" si="5"/>
        <v>370.02042805429085</v>
      </c>
      <c r="P53" s="205">
        <f t="shared" si="6"/>
        <v>-2093.186437745539</v>
      </c>
      <c r="Q53" s="209">
        <f>NPV($F$36,O44:O53)</f>
        <v>-2093.186437745539</v>
      </c>
      <c r="R53" s="192">
        <f t="shared" si="0"/>
        <v>1</v>
      </c>
      <c r="S53" s="207"/>
      <c r="T53" s="150"/>
      <c r="U53" s="145"/>
      <c r="V53" s="145"/>
      <c r="W53" s="145"/>
      <c r="X53" s="145"/>
      <c r="Y53" s="145"/>
      <c r="Z53" s="145"/>
      <c r="AA53" s="145"/>
      <c r="AB53" s="145"/>
      <c r="AC53" s="145"/>
    </row>
    <row r="54" spans="1:29" ht="15.75" x14ac:dyDescent="0.25">
      <c r="A54" s="192">
        <v>10</v>
      </c>
      <c r="B54" s="193">
        <f t="shared" si="7"/>
        <v>2775.9033355503529</v>
      </c>
      <c r="C54" s="208">
        <f t="shared" si="8"/>
        <v>0.15445586668763978</v>
      </c>
      <c r="D54" s="195">
        <f t="shared" si="1"/>
        <v>428.75455553353987</v>
      </c>
      <c r="E54" s="196" t="str">
        <f t="shared" si="12"/>
        <v/>
      </c>
      <c r="F54" s="197" t="str">
        <f t="shared" si="9"/>
        <v/>
      </c>
      <c r="G54" s="198" t="str">
        <f t="shared" si="13"/>
        <v/>
      </c>
      <c r="H54" s="198" t="str">
        <f>IFERROR(ROUND(IF(E54="","",($H$44-SUM($F$44:F54))),2),"")</f>
        <v/>
      </c>
      <c r="I54" s="198"/>
      <c r="J54" s="199">
        <f t="shared" si="2"/>
        <v>20</v>
      </c>
      <c r="K54" s="200">
        <f t="shared" si="10"/>
        <v>20</v>
      </c>
      <c r="L54" s="201">
        <f t="shared" si="11"/>
        <v>2.187370545368722E-2</v>
      </c>
      <c r="M54" s="202">
        <f t="shared" si="3"/>
        <v>6.0719291929736308</v>
      </c>
      <c r="N54" s="203">
        <f t="shared" si="4"/>
        <v>391.95102917315955</v>
      </c>
      <c r="O54" s="204">
        <f t="shared" si="5"/>
        <v>371.95102917315955</v>
      </c>
      <c r="P54" s="205">
        <f t="shared" si="6"/>
        <v>-1721.2354085723796</v>
      </c>
      <c r="Q54" s="209">
        <f>NPV($F$36,O44:O54)</f>
        <v>-1721.2354085723796</v>
      </c>
      <c r="R54" s="192">
        <f t="shared" si="0"/>
        <v>1</v>
      </c>
      <c r="S54" s="207"/>
      <c r="T54" s="150"/>
      <c r="U54" s="145"/>
      <c r="V54" s="145"/>
      <c r="W54" s="145"/>
      <c r="X54" s="145"/>
      <c r="Y54" s="145"/>
      <c r="Z54" s="145"/>
      <c r="AA54" s="145"/>
      <c r="AB54" s="145"/>
      <c r="AC54" s="145"/>
    </row>
    <row r="55" spans="1:29" ht="15.75" x14ac:dyDescent="0.25">
      <c r="A55" s="192">
        <v>11</v>
      </c>
      <c r="B55" s="193">
        <f t="shared" si="7"/>
        <v>2762.0238188726012</v>
      </c>
      <c r="C55" s="208">
        <f t="shared" si="8"/>
        <v>0.15600042535451616</v>
      </c>
      <c r="D55" s="195">
        <f t="shared" si="1"/>
        <v>430.87689058343091</v>
      </c>
      <c r="E55" s="196" t="str">
        <f t="shared" si="12"/>
        <v/>
      </c>
      <c r="F55" s="197" t="str">
        <f t="shared" si="9"/>
        <v/>
      </c>
      <c r="G55" s="198" t="str">
        <f t="shared" si="13"/>
        <v/>
      </c>
      <c r="H55" s="198" t="str">
        <f>IFERROR(ROUND(IF(E55="","",($H$44-SUM($F$44:F55))),2),"")</f>
        <v/>
      </c>
      <c r="I55" s="198"/>
      <c r="J55" s="199">
        <f t="shared" si="2"/>
        <v>20</v>
      </c>
      <c r="K55" s="200">
        <f t="shared" si="10"/>
        <v>20</v>
      </c>
      <c r="L55" s="201">
        <f t="shared" si="11"/>
        <v>2.2092442508224092E-2</v>
      </c>
      <c r="M55" s="202">
        <f t="shared" si="3"/>
        <v>6.1019852424788494</v>
      </c>
      <c r="N55" s="203">
        <f t="shared" si="4"/>
        <v>393.89118676756669</v>
      </c>
      <c r="O55" s="204">
        <f t="shared" si="5"/>
        <v>373.89118676756669</v>
      </c>
      <c r="P55" s="205">
        <f t="shared" si="6"/>
        <v>-1347.3442218048128</v>
      </c>
      <c r="Q55" s="209">
        <f>NPV($F$36,O44:O55)</f>
        <v>-1347.3442218048128</v>
      </c>
      <c r="R55" s="192">
        <f t="shared" si="0"/>
        <v>1</v>
      </c>
      <c r="S55" s="207"/>
      <c r="T55" s="150"/>
      <c r="U55" s="145"/>
      <c r="V55" s="145"/>
      <c r="W55" s="145"/>
      <c r="X55" s="145"/>
      <c r="Y55" s="145"/>
      <c r="Z55" s="145"/>
      <c r="AA55" s="145"/>
      <c r="AB55" s="145"/>
      <c r="AC55" s="145"/>
    </row>
    <row r="56" spans="1:29" ht="15.75" x14ac:dyDescent="0.25">
      <c r="A56" s="192">
        <v>12</v>
      </c>
      <c r="B56" s="193">
        <f t="shared" si="7"/>
        <v>2748.2136997782382</v>
      </c>
      <c r="C56" s="208">
        <f t="shared" si="8"/>
        <v>0.15756042960806133</v>
      </c>
      <c r="D56" s="195">
        <f t="shared" si="1"/>
        <v>433.0097311918189</v>
      </c>
      <c r="E56" s="196" t="str">
        <f t="shared" si="12"/>
        <v/>
      </c>
      <c r="F56" s="197" t="str">
        <f t="shared" si="9"/>
        <v/>
      </c>
      <c r="G56" s="198" t="str">
        <f t="shared" si="13"/>
        <v/>
      </c>
      <c r="H56" s="198" t="str">
        <f>IFERROR(ROUND(IF(E56="","",($H$44-SUM($F$44:F56))),2),"")</f>
        <v/>
      </c>
      <c r="I56" s="198"/>
      <c r="J56" s="199">
        <f t="shared" si="2"/>
        <v>20</v>
      </c>
      <c r="K56" s="200">
        <f t="shared" si="10"/>
        <v>20</v>
      </c>
      <c r="L56" s="201">
        <f t="shared" si="11"/>
        <v>2.2313366933306333E-2</v>
      </c>
      <c r="M56" s="202">
        <f t="shared" si="3"/>
        <v>6.1321900694291207</v>
      </c>
      <c r="N56" s="203">
        <f t="shared" si="4"/>
        <v>395.84094814206611</v>
      </c>
      <c r="O56" s="204">
        <f t="shared" si="5"/>
        <v>375.84094814206611</v>
      </c>
      <c r="P56" s="205">
        <f t="shared" si="6"/>
        <v>-971.50327366274678</v>
      </c>
      <c r="Q56" s="209">
        <f>NPV($F$36,O44:O56)</f>
        <v>-971.50327366274678</v>
      </c>
      <c r="R56" s="192">
        <f t="shared" si="0"/>
        <v>1</v>
      </c>
      <c r="S56" s="207"/>
      <c r="T56" s="150"/>
      <c r="U56" s="145"/>
      <c r="V56" s="145"/>
      <c r="W56" s="145"/>
      <c r="X56" s="145"/>
      <c r="Y56" s="145"/>
      <c r="Z56" s="145"/>
      <c r="AA56" s="145"/>
      <c r="AB56" s="145"/>
      <c r="AC56" s="145"/>
    </row>
    <row r="57" spans="1:29" ht="15.75" x14ac:dyDescent="0.25">
      <c r="A57" s="192">
        <v>13</v>
      </c>
      <c r="B57" s="193">
        <f t="shared" si="7"/>
        <v>2734.4726312793468</v>
      </c>
      <c r="C57" s="208">
        <f t="shared" si="8"/>
        <v>0.15913603390414194</v>
      </c>
      <c r="D57" s="195">
        <f t="shared" si="1"/>
        <v>435.15312936121836</v>
      </c>
      <c r="E57" s="196" t="str">
        <f t="shared" si="12"/>
        <v/>
      </c>
      <c r="F57" s="197" t="str">
        <f t="shared" si="9"/>
        <v/>
      </c>
      <c r="G57" s="198" t="str">
        <f t="shared" si="13"/>
        <v/>
      </c>
      <c r="H57" s="198" t="str">
        <f>IFERROR(ROUND(IF(E57="","",($H$44-SUM($F$44:F57))),2),"")</f>
        <v/>
      </c>
      <c r="I57" s="198"/>
      <c r="J57" s="199">
        <f t="shared" si="2"/>
        <v>20</v>
      </c>
      <c r="K57" s="200">
        <f t="shared" si="10"/>
        <v>20</v>
      </c>
      <c r="L57" s="201">
        <f t="shared" si="11"/>
        <v>2.2536500602639398E-2</v>
      </c>
      <c r="M57" s="202">
        <f t="shared" si="3"/>
        <v>6.1625444102727949</v>
      </c>
      <c r="N57" s="203">
        <f t="shared" si="4"/>
        <v>397.80036083536936</v>
      </c>
      <c r="O57" s="204">
        <f t="shared" si="5"/>
        <v>377.80036083536936</v>
      </c>
      <c r="P57" s="205">
        <f t="shared" si="6"/>
        <v>-593.70291282737742</v>
      </c>
      <c r="Q57" s="209">
        <f>NPV($F$36,O44:O57)</f>
        <v>-593.70291282737742</v>
      </c>
      <c r="R57" s="192">
        <f t="shared" si="0"/>
        <v>1</v>
      </c>
      <c r="S57" s="207"/>
      <c r="T57" s="150"/>
      <c r="U57" s="145"/>
      <c r="V57" s="145"/>
      <c r="W57" s="145"/>
      <c r="X57" s="145"/>
      <c r="Y57" s="145"/>
      <c r="Z57" s="145"/>
      <c r="AA57" s="145"/>
      <c r="AB57" s="145"/>
      <c r="AC57" s="145"/>
    </row>
    <row r="58" spans="1:29" ht="15.75" x14ac:dyDescent="0.25">
      <c r="A58" s="192">
        <v>14</v>
      </c>
      <c r="B58" s="193">
        <f t="shared" si="7"/>
        <v>2720.80026812295</v>
      </c>
      <c r="C58" s="208">
        <f t="shared" si="8"/>
        <v>0.16072739424318336</v>
      </c>
      <c r="D58" s="195">
        <f t="shared" si="1"/>
        <v>437.30713735155638</v>
      </c>
      <c r="E58" s="196" t="str">
        <f t="shared" si="12"/>
        <v/>
      </c>
      <c r="F58" s="197" t="str">
        <f t="shared" si="9"/>
        <v/>
      </c>
      <c r="G58" s="198" t="str">
        <f t="shared" si="13"/>
        <v/>
      </c>
      <c r="H58" s="198" t="str">
        <f>IFERROR(ROUND(IF(E58="","",($H$44-SUM($F$44:F58))),2),"")</f>
        <v/>
      </c>
      <c r="I58" s="198"/>
      <c r="J58" s="199">
        <f>$F$38</f>
        <v>20</v>
      </c>
      <c r="K58" s="200">
        <f t="shared" si="10"/>
        <v>20</v>
      </c>
      <c r="L58" s="201">
        <f t="shared" si="11"/>
        <v>2.2761865608665791E-2</v>
      </c>
      <c r="M58" s="202">
        <f t="shared" si="3"/>
        <v>6.1930490051036431</v>
      </c>
      <c r="N58" s="203">
        <f t="shared" si="4"/>
        <v>399.76947262150441</v>
      </c>
      <c r="O58" s="204">
        <f t="shared" si="5"/>
        <v>379.76947262150441</v>
      </c>
      <c r="P58" s="205">
        <f t="shared" si="6"/>
        <v>-213.93344020587301</v>
      </c>
      <c r="Q58" s="209">
        <f>NPV($F$36,O44:O58)</f>
        <v>-213.93344020587301</v>
      </c>
      <c r="R58" s="192">
        <f t="shared" si="0"/>
        <v>1</v>
      </c>
      <c r="S58" s="207"/>
      <c r="T58" s="150"/>
      <c r="U58" s="145"/>
      <c r="V58" s="145"/>
      <c r="W58" s="145"/>
      <c r="X58" s="145"/>
      <c r="Y58" s="145"/>
      <c r="Z58" s="145"/>
      <c r="AA58" s="145"/>
      <c r="AB58" s="145"/>
      <c r="AC58" s="145"/>
    </row>
    <row r="59" spans="1:29" ht="15.75" x14ac:dyDescent="0.25">
      <c r="A59" s="192">
        <v>15</v>
      </c>
      <c r="B59" s="193">
        <f t="shared" si="7"/>
        <v>2707.1962667823354</v>
      </c>
      <c r="C59" s="208">
        <f t="shared" si="8"/>
        <v>0.16233466818561521</v>
      </c>
      <c r="D59" s="195">
        <f t="shared" si="1"/>
        <v>439.47180768144665</v>
      </c>
      <c r="E59" s="196" t="str">
        <f t="shared" si="12"/>
        <v/>
      </c>
      <c r="F59" s="197" t="str">
        <f t="shared" si="9"/>
        <v/>
      </c>
      <c r="G59" s="198" t="str">
        <f t="shared" si="13"/>
        <v/>
      </c>
      <c r="H59" s="198" t="str">
        <f>IFERROR(ROUND(IF(E59="","",($H$44-SUM($F$44:F59))),2),"")</f>
        <v/>
      </c>
      <c r="I59" s="198"/>
      <c r="J59" s="199">
        <f>$F$38+F27*F37</f>
        <v>496</v>
      </c>
      <c r="K59" s="200">
        <f t="shared" si="10"/>
        <v>496</v>
      </c>
      <c r="L59" s="201">
        <f t="shared" si="11"/>
        <v>2.298948426475245E-2</v>
      </c>
      <c r="M59" s="202">
        <f t="shared" si="3"/>
        <v>6.2237045976789078</v>
      </c>
      <c r="N59" s="203">
        <f t="shared" si="4"/>
        <v>401.7483315109809</v>
      </c>
      <c r="O59" s="204">
        <f t="shared" si="5"/>
        <v>-94.251668489019096</v>
      </c>
      <c r="P59" s="205">
        <f t="shared" si="6"/>
        <v>-308.18510869489211</v>
      </c>
      <c r="Q59" s="209">
        <f>NPV($F$36,O44:O59)</f>
        <v>-308.18510869489211</v>
      </c>
      <c r="R59" s="192">
        <f t="shared" si="0"/>
        <v>1</v>
      </c>
      <c r="S59" s="207"/>
      <c r="T59" s="150"/>
      <c r="U59" s="145"/>
      <c r="V59" s="145"/>
      <c r="W59" s="145"/>
      <c r="X59" s="145"/>
      <c r="Y59" s="145"/>
      <c r="Z59" s="145"/>
      <c r="AA59" s="145"/>
      <c r="AB59" s="145"/>
      <c r="AC59" s="145"/>
    </row>
    <row r="60" spans="1:29" ht="15.75" x14ac:dyDescent="0.25">
      <c r="A60" s="192">
        <v>16</v>
      </c>
      <c r="B60" s="193">
        <f t="shared" si="7"/>
        <v>2693.6602854484236</v>
      </c>
      <c r="C60" s="208">
        <f t="shared" si="8"/>
        <v>0.16395801486747136</v>
      </c>
      <c r="D60" s="195">
        <f t="shared" si="1"/>
        <v>441.64719312946977</v>
      </c>
      <c r="E60" s="196" t="str">
        <f t="shared" si="12"/>
        <v/>
      </c>
      <c r="F60" s="197" t="str">
        <f t="shared" si="9"/>
        <v/>
      </c>
      <c r="G60" s="198" t="str">
        <f t="shared" si="13"/>
        <v/>
      </c>
      <c r="H60" s="198" t="str">
        <f>IFERROR(ROUND(IF(E60="","",($H$44-SUM($F$44:F60))),2),"")</f>
        <v/>
      </c>
      <c r="I60" s="198"/>
      <c r="J60" s="199">
        <f t="shared" ref="J60:J74" si="14">$F$38</f>
        <v>20</v>
      </c>
      <c r="K60" s="200">
        <f t="shared" si="10"/>
        <v>20</v>
      </c>
      <c r="L60" s="201">
        <f t="shared" si="11"/>
        <v>2.3219379107399976E-2</v>
      </c>
      <c r="M60" s="202">
        <f t="shared" si="3"/>
        <v>6.254511935437419</v>
      </c>
      <c r="N60" s="203">
        <f t="shared" si="4"/>
        <v>403.73698575196022</v>
      </c>
      <c r="O60" s="204">
        <f t="shared" si="5"/>
        <v>383.73698575196022</v>
      </c>
      <c r="P60" s="205">
        <f t="shared" si="6"/>
        <v>75.551877057068111</v>
      </c>
      <c r="Q60" s="209">
        <f>NPV($F$36,O44:O60)</f>
        <v>75.551877057068111</v>
      </c>
      <c r="R60" s="192">
        <f t="shared" si="0"/>
        <v>0</v>
      </c>
      <c r="S60" s="207"/>
      <c r="T60" s="150"/>
      <c r="U60" s="145"/>
      <c r="V60" s="145"/>
      <c r="W60" s="145"/>
      <c r="X60" s="145"/>
      <c r="Y60" s="145"/>
      <c r="Z60" s="145"/>
      <c r="AA60" s="145"/>
      <c r="AB60" s="145"/>
      <c r="AC60" s="145"/>
    </row>
    <row r="61" spans="1:29" ht="15.75" x14ac:dyDescent="0.25">
      <c r="A61" s="192">
        <v>17</v>
      </c>
      <c r="B61" s="193">
        <f t="shared" si="7"/>
        <v>2680.1919840211813</v>
      </c>
      <c r="C61" s="208">
        <f t="shared" si="8"/>
        <v>0.16559759501614607</v>
      </c>
      <c r="D61" s="195">
        <f t="shared" si="1"/>
        <v>443.83334673546062</v>
      </c>
      <c r="E61" s="196" t="str">
        <f t="shared" si="12"/>
        <v/>
      </c>
      <c r="F61" s="197" t="str">
        <f t="shared" si="9"/>
        <v/>
      </c>
      <c r="G61" s="198" t="str">
        <f t="shared" si="13"/>
        <v/>
      </c>
      <c r="H61" s="198" t="str">
        <f>IFERROR(ROUND(IF(E61="","",($H$44-SUM($F$44:F61))),2),"")</f>
        <v/>
      </c>
      <c r="I61" s="198"/>
      <c r="J61" s="199">
        <f t="shared" si="14"/>
        <v>20</v>
      </c>
      <c r="K61" s="200">
        <f t="shared" si="10"/>
        <v>20</v>
      </c>
      <c r="L61" s="201">
        <f t="shared" si="11"/>
        <v>2.3451572898473976E-2</v>
      </c>
      <c r="M61" s="202">
        <f t="shared" si="3"/>
        <v>6.2854717695178337</v>
      </c>
      <c r="N61" s="203">
        <f t="shared" si="4"/>
        <v>405.73548383143236</v>
      </c>
      <c r="O61" s="204">
        <f t="shared" si="5"/>
        <v>385.73548383143236</v>
      </c>
      <c r="P61" s="205">
        <f t="shared" si="6"/>
        <v>461.28736088850047</v>
      </c>
      <c r="Q61" s="209">
        <f>NPV($F$36,O44:O61)</f>
        <v>461.28736088850047</v>
      </c>
      <c r="R61" s="192">
        <f t="shared" si="0"/>
        <v>0</v>
      </c>
      <c r="S61" s="207"/>
      <c r="T61" s="150"/>
      <c r="U61" s="145"/>
      <c r="V61" s="145"/>
      <c r="W61" s="145"/>
      <c r="X61" s="145"/>
      <c r="Y61" s="145"/>
      <c r="Z61" s="145"/>
      <c r="AA61" s="145"/>
      <c r="AB61" s="145"/>
      <c r="AC61" s="145"/>
    </row>
    <row r="62" spans="1:29" ht="15.75" x14ac:dyDescent="0.25">
      <c r="A62" s="192">
        <v>18</v>
      </c>
      <c r="B62" s="193">
        <f t="shared" si="7"/>
        <v>2666.7910241010754</v>
      </c>
      <c r="C62" s="208">
        <f t="shared" si="8"/>
        <v>0.16725357096630752</v>
      </c>
      <c r="D62" s="195">
        <f t="shared" si="1"/>
        <v>446.03032180180116</v>
      </c>
      <c r="E62" s="196" t="str">
        <f t="shared" si="12"/>
        <v/>
      </c>
      <c r="F62" s="197" t="str">
        <f t="shared" si="9"/>
        <v/>
      </c>
      <c r="G62" s="198" t="str">
        <f t="shared" si="13"/>
        <v/>
      </c>
      <c r="H62" s="198" t="str">
        <f>IFERROR(ROUND(IF(E62="","",($H$44-SUM($F$44:F62))),2),"")</f>
        <v/>
      </c>
      <c r="I62" s="198"/>
      <c r="J62" s="199">
        <f t="shared" si="14"/>
        <v>20</v>
      </c>
      <c r="K62" s="200">
        <f t="shared" si="10"/>
        <v>20</v>
      </c>
      <c r="L62" s="201">
        <f t="shared" si="11"/>
        <v>2.3686088627458714E-2</v>
      </c>
      <c r="M62" s="202">
        <f t="shared" si="3"/>
        <v>6.3165848547769459</v>
      </c>
      <c r="N62" s="203">
        <f t="shared" si="4"/>
        <v>407.74387447639799</v>
      </c>
      <c r="O62" s="204">
        <f t="shared" si="5"/>
        <v>387.74387447639799</v>
      </c>
      <c r="P62" s="205">
        <f t="shared" si="6"/>
        <v>849.03123536489852</v>
      </c>
      <c r="Q62" s="209">
        <f>NPV($F$36,O44:O62)</f>
        <v>849.03123536489852</v>
      </c>
      <c r="R62" s="192">
        <f t="shared" si="0"/>
        <v>0</v>
      </c>
      <c r="S62" s="207"/>
      <c r="T62" s="150"/>
      <c r="U62" s="145"/>
      <c r="V62" s="145"/>
      <c r="W62" s="145"/>
      <c r="X62" s="145"/>
      <c r="Y62" s="145"/>
      <c r="Z62" s="145"/>
      <c r="AA62" s="145"/>
      <c r="AB62" s="145"/>
      <c r="AC62" s="145"/>
    </row>
    <row r="63" spans="1:29" ht="15.75" x14ac:dyDescent="0.25">
      <c r="A63" s="192">
        <v>19</v>
      </c>
      <c r="B63" s="193">
        <f t="shared" si="7"/>
        <v>2653.4570689805701</v>
      </c>
      <c r="C63" s="208">
        <f t="shared" si="8"/>
        <v>0.16892610667597061</v>
      </c>
      <c r="D63" s="195">
        <f t="shared" si="1"/>
        <v>448.2381718947201</v>
      </c>
      <c r="E63" s="196" t="str">
        <f t="shared" si="12"/>
        <v/>
      </c>
      <c r="F63" s="197" t="str">
        <f t="shared" si="9"/>
        <v/>
      </c>
      <c r="G63" s="198" t="str">
        <f t="shared" si="13"/>
        <v/>
      </c>
      <c r="H63" s="198" t="str">
        <f>IFERROR(ROUND(IF(E63="","",($H$44-SUM($F$44:F63))),2),"")</f>
        <v/>
      </c>
      <c r="I63" s="198"/>
      <c r="J63" s="199">
        <f t="shared" si="14"/>
        <v>20</v>
      </c>
      <c r="K63" s="200">
        <f t="shared" si="10"/>
        <v>20</v>
      </c>
      <c r="L63" s="201">
        <f t="shared" si="11"/>
        <v>2.3922949513733301E-2</v>
      </c>
      <c r="M63" s="202">
        <f t="shared" si="3"/>
        <v>6.3478519498080921</v>
      </c>
      <c r="N63" s="203">
        <f t="shared" si="4"/>
        <v>409.76220665505622</v>
      </c>
      <c r="O63" s="204">
        <f t="shared" si="5"/>
        <v>389.76220665505622</v>
      </c>
      <c r="P63" s="205">
        <f t="shared" si="6"/>
        <v>1238.7934420199547</v>
      </c>
      <c r="Q63" s="209">
        <f>NPV($F$36,O44:O63)</f>
        <v>1238.7934420199547</v>
      </c>
      <c r="R63" s="192">
        <f t="shared" si="0"/>
        <v>0</v>
      </c>
      <c r="S63" s="207"/>
      <c r="T63" s="150"/>
      <c r="U63" s="145"/>
      <c r="V63" s="145"/>
      <c r="W63" s="145"/>
      <c r="X63" s="145"/>
      <c r="Y63" s="145"/>
      <c r="Z63" s="145"/>
      <c r="AA63" s="145"/>
      <c r="AB63" s="145"/>
      <c r="AC63" s="145"/>
    </row>
    <row r="64" spans="1:29" ht="15.75" x14ac:dyDescent="0.25">
      <c r="A64" s="192">
        <v>20</v>
      </c>
      <c r="B64" s="193">
        <f t="shared" si="7"/>
        <v>2640.189783635667</v>
      </c>
      <c r="C64" s="208">
        <f t="shared" si="8"/>
        <v>0.17061536774273031</v>
      </c>
      <c r="D64" s="195">
        <f t="shared" si="1"/>
        <v>450.4569508455989</v>
      </c>
      <c r="E64" s="196" t="str">
        <f t="shared" si="12"/>
        <v/>
      </c>
      <c r="F64" s="197" t="str">
        <f t="shared" si="9"/>
        <v/>
      </c>
      <c r="G64" s="198" t="str">
        <f t="shared" si="13"/>
        <v/>
      </c>
      <c r="H64" s="198" t="str">
        <f>IFERROR(ROUND(IF(E64="","",($H$44-SUM($F$44:F64))),2),"")</f>
        <v/>
      </c>
      <c r="I64" s="198"/>
      <c r="J64" s="199">
        <f t="shared" si="14"/>
        <v>20</v>
      </c>
      <c r="K64" s="200">
        <f t="shared" si="10"/>
        <v>20</v>
      </c>
      <c r="L64" s="201">
        <f t="shared" si="11"/>
        <v>2.4162179008870636E-2</v>
      </c>
      <c r="M64" s="202">
        <f t="shared" si="3"/>
        <v>6.3792738169596417</v>
      </c>
      <c r="N64" s="203">
        <f t="shared" si="4"/>
        <v>411.79052957799865</v>
      </c>
      <c r="O64" s="204">
        <f t="shared" si="5"/>
        <v>391.79052957799865</v>
      </c>
      <c r="P64" s="205">
        <f t="shared" si="6"/>
        <v>1630.5839715979532</v>
      </c>
      <c r="Q64" s="209">
        <f>NPV($F$36,O44:O64)</f>
        <v>1630.5839715979532</v>
      </c>
      <c r="R64" s="192">
        <f t="shared" si="0"/>
        <v>0</v>
      </c>
      <c r="S64" s="207"/>
      <c r="T64" s="150"/>
      <c r="U64" s="145"/>
      <c r="V64" s="145"/>
      <c r="W64" s="145"/>
      <c r="X64" s="145"/>
      <c r="Y64" s="145"/>
      <c r="Z64" s="145"/>
      <c r="AA64" s="145"/>
      <c r="AB64" s="145"/>
      <c r="AC64" s="145"/>
    </row>
    <row r="65" spans="1:29" ht="15.75" x14ac:dyDescent="0.25">
      <c r="A65" s="192">
        <v>21</v>
      </c>
      <c r="B65" s="193">
        <f t="shared" si="7"/>
        <v>2626.9888347174888</v>
      </c>
      <c r="C65" s="208">
        <f t="shared" si="8"/>
        <v>0.17232152142015761</v>
      </c>
      <c r="D65" s="195">
        <f t="shared" si="1"/>
        <v>452.68671275228462</v>
      </c>
      <c r="E65" s="196"/>
      <c r="F65" s="197"/>
      <c r="G65" s="198" t="s">
        <v>4</v>
      </c>
      <c r="H65" s="198"/>
      <c r="I65" s="198"/>
      <c r="J65" s="199">
        <f t="shared" si="14"/>
        <v>20</v>
      </c>
      <c r="K65" s="200">
        <f t="shared" si="10"/>
        <v>20</v>
      </c>
      <c r="L65" s="201">
        <f t="shared" si="11"/>
        <v>2.4403800798959343E-2</v>
      </c>
      <c r="M65" s="202">
        <f t="shared" si="3"/>
        <v>6.4108512223535934</v>
      </c>
      <c r="N65" s="203">
        <f t="shared" si="4"/>
        <v>413.82889269940978</v>
      </c>
      <c r="O65" s="204">
        <f t="shared" si="5"/>
        <v>393.82889269940978</v>
      </c>
      <c r="P65" s="205">
        <f t="shared" si="6"/>
        <v>2024.4128642973631</v>
      </c>
      <c r="Q65" s="209">
        <f>NPV($F$36,O44:O65)</f>
        <v>2024.4128642973631</v>
      </c>
      <c r="R65" s="192">
        <f t="shared" si="0"/>
        <v>0</v>
      </c>
      <c r="S65" s="207"/>
      <c r="T65" s="150"/>
      <c r="U65" s="145"/>
      <c r="V65" s="145"/>
      <c r="W65" s="145"/>
      <c r="X65" s="145"/>
      <c r="Y65" s="145"/>
      <c r="Z65" s="145"/>
      <c r="AA65" s="145"/>
      <c r="AB65" s="145"/>
      <c r="AC65" s="145"/>
    </row>
    <row r="66" spans="1:29" ht="15.75" x14ac:dyDescent="0.25">
      <c r="A66" s="192">
        <v>22</v>
      </c>
      <c r="B66" s="193">
        <f t="shared" si="7"/>
        <v>2613.8538905439013</v>
      </c>
      <c r="C66" s="208">
        <f t="shared" si="8"/>
        <v>0.17404473663435918</v>
      </c>
      <c r="D66" s="195">
        <f t="shared" si="1"/>
        <v>454.92751198040844</v>
      </c>
      <c r="E66" s="196"/>
      <c r="F66" s="197"/>
      <c r="G66" s="198" t="s">
        <v>4</v>
      </c>
      <c r="H66" s="198"/>
      <c r="I66" s="198"/>
      <c r="J66" s="199">
        <f t="shared" si="14"/>
        <v>20</v>
      </c>
      <c r="K66" s="200">
        <f t="shared" si="10"/>
        <v>20</v>
      </c>
      <c r="L66" s="201">
        <f t="shared" si="11"/>
        <v>2.4647838806948937E-2</v>
      </c>
      <c r="M66" s="202">
        <f t="shared" si="3"/>
        <v>6.4425849359042431</v>
      </c>
      <c r="N66" s="203">
        <f t="shared" si="4"/>
        <v>415.87734571827184</v>
      </c>
      <c r="O66" s="204">
        <f t="shared" si="5"/>
        <v>395.87734571827184</v>
      </c>
      <c r="P66" s="205">
        <f t="shared" si="6"/>
        <v>2420.2902100156348</v>
      </c>
      <c r="Q66" s="209">
        <f>NPV($F$36,O44:O66)</f>
        <v>2420.2902100156348</v>
      </c>
      <c r="R66" s="192">
        <f t="shared" si="0"/>
        <v>0</v>
      </c>
      <c r="S66" s="207"/>
      <c r="T66" s="150"/>
      <c r="U66" s="145"/>
      <c r="V66" s="145"/>
      <c r="W66" s="145"/>
      <c r="X66" s="145"/>
      <c r="Y66" s="145"/>
      <c r="Z66" s="145"/>
      <c r="AA66" s="145"/>
      <c r="AB66" s="145"/>
      <c r="AC66" s="145"/>
    </row>
    <row r="67" spans="1:29" ht="15.75" x14ac:dyDescent="0.25">
      <c r="A67" s="192">
        <v>23</v>
      </c>
      <c r="B67" s="193">
        <f t="shared" si="7"/>
        <v>2600.7846210911816</v>
      </c>
      <c r="C67" s="208">
        <f t="shared" si="8"/>
        <v>0.17578518400070278</v>
      </c>
      <c r="D67" s="195">
        <f t="shared" si="1"/>
        <v>457.1794031647114</v>
      </c>
      <c r="E67" s="196"/>
      <c r="F67" s="197"/>
      <c r="G67" s="198" t="s">
        <v>4</v>
      </c>
      <c r="H67" s="198"/>
      <c r="I67" s="198"/>
      <c r="J67" s="199">
        <f t="shared" si="14"/>
        <v>20</v>
      </c>
      <c r="K67" s="200">
        <f t="shared" si="10"/>
        <v>20</v>
      </c>
      <c r="L67" s="201">
        <f t="shared" si="11"/>
        <v>2.4894317195018428E-2</v>
      </c>
      <c r="M67" s="202">
        <f t="shared" si="3"/>
        <v>6.4744757313369687</v>
      </c>
      <c r="N67" s="203">
        <f t="shared" si="4"/>
        <v>417.93593857957723</v>
      </c>
      <c r="O67" s="204">
        <f t="shared" si="5"/>
        <v>397.93593857957723</v>
      </c>
      <c r="P67" s="205">
        <f t="shared" si="6"/>
        <v>2818.2261485952122</v>
      </c>
      <c r="Q67" s="209">
        <f>NPV($F$36,O44:O67)</f>
        <v>2818.2261485952122</v>
      </c>
      <c r="R67" s="192">
        <f t="shared" si="0"/>
        <v>0</v>
      </c>
      <c r="S67" s="207"/>
      <c r="T67" s="150"/>
      <c r="U67" s="145"/>
      <c r="V67" s="145"/>
      <c r="W67" s="145"/>
      <c r="X67" s="145"/>
      <c r="Y67" s="145"/>
      <c r="Z67" s="145"/>
      <c r="AA67" s="145"/>
      <c r="AB67" s="145"/>
      <c r="AC67" s="145"/>
    </row>
    <row r="68" spans="1:29" ht="15.75" x14ac:dyDescent="0.25">
      <c r="A68" s="192">
        <v>24</v>
      </c>
      <c r="B68" s="193">
        <f t="shared" si="7"/>
        <v>2587.7806979857255</v>
      </c>
      <c r="C68" s="208">
        <f t="shared" si="8"/>
        <v>0.17754303584070982</v>
      </c>
      <c r="D68" s="195">
        <f t="shared" si="1"/>
        <v>459.44244121037673</v>
      </c>
      <c r="E68" s="196"/>
      <c r="F68" s="197"/>
      <c r="G68" s="198" t="s">
        <v>4</v>
      </c>
      <c r="H68" s="198"/>
      <c r="I68" s="198"/>
      <c r="J68" s="199">
        <f t="shared" si="14"/>
        <v>20</v>
      </c>
      <c r="K68" s="200">
        <f t="shared" si="10"/>
        <v>20</v>
      </c>
      <c r="L68" s="201">
        <f t="shared" si="11"/>
        <v>2.5143260366968612E-2</v>
      </c>
      <c r="M68" s="202">
        <f t="shared" si="3"/>
        <v>6.5065243862070874</v>
      </c>
      <c r="N68" s="203">
        <f t="shared" si="4"/>
        <v>420.00472147554615</v>
      </c>
      <c r="O68" s="204">
        <f t="shared" si="5"/>
        <v>400.00472147554615</v>
      </c>
      <c r="P68" s="205">
        <f t="shared" si="6"/>
        <v>3218.2308700707581</v>
      </c>
      <c r="Q68" s="209">
        <f>NPV($F$36,O44:O68)</f>
        <v>3218.2308700707581</v>
      </c>
      <c r="R68" s="192">
        <f t="shared" si="0"/>
        <v>0</v>
      </c>
      <c r="S68" s="207"/>
      <c r="T68" s="150"/>
      <c r="U68" s="145"/>
      <c r="V68" s="145"/>
      <c r="W68" s="145"/>
      <c r="X68" s="145"/>
      <c r="Y68" s="145"/>
      <c r="Z68" s="145"/>
      <c r="AA68" s="145"/>
      <c r="AB68" s="145"/>
      <c r="AC68" s="145"/>
    </row>
    <row r="69" spans="1:29" ht="15.75" x14ac:dyDescent="0.25">
      <c r="A69" s="192">
        <v>25</v>
      </c>
      <c r="B69" s="193">
        <f t="shared" si="7"/>
        <v>2574.8417944957969</v>
      </c>
      <c r="C69" s="208">
        <f t="shared" si="8"/>
        <v>0.17931846619911693</v>
      </c>
      <c r="D69" s="195">
        <f t="shared" si="1"/>
        <v>461.71668129436813</v>
      </c>
      <c r="E69" s="196"/>
      <c r="F69" s="197"/>
      <c r="G69" s="198" t="s">
        <v>4</v>
      </c>
      <c r="H69" s="198"/>
      <c r="I69" s="198"/>
      <c r="J69" s="199">
        <f t="shared" si="14"/>
        <v>20</v>
      </c>
      <c r="K69" s="200">
        <f t="shared" si="10"/>
        <v>20</v>
      </c>
      <c r="L69" s="201">
        <f t="shared" si="11"/>
        <v>2.5394692970638299E-2</v>
      </c>
      <c r="M69" s="202">
        <f t="shared" si="3"/>
        <v>6.5387316819188115</v>
      </c>
      <c r="N69" s="203">
        <f t="shared" si="4"/>
        <v>422.08374484685015</v>
      </c>
      <c r="O69" s="204">
        <f t="shared" si="5"/>
        <v>402.08374484685015</v>
      </c>
      <c r="P69" s="205">
        <f t="shared" si="6"/>
        <v>3620.3146149176082</v>
      </c>
      <c r="Q69" s="209">
        <f>NPV($F$36,O44:O69)</f>
        <v>3620.3146149176082</v>
      </c>
      <c r="R69" s="192">
        <f t="shared" si="0"/>
        <v>0</v>
      </c>
      <c r="S69" s="207"/>
      <c r="T69" s="150"/>
      <c r="U69" s="145"/>
      <c r="V69" s="145"/>
      <c r="W69" s="145"/>
      <c r="X69" s="145"/>
      <c r="Y69" s="145"/>
      <c r="Z69" s="145"/>
      <c r="AA69" s="145"/>
      <c r="AB69" s="145"/>
      <c r="AC69" s="145"/>
    </row>
    <row r="70" spans="1:29" ht="15.75" x14ac:dyDescent="0.25">
      <c r="A70" s="192">
        <v>26</v>
      </c>
      <c r="B70" s="193">
        <f t="shared" si="7"/>
        <v>2561.9675855233177</v>
      </c>
      <c r="C70" s="208">
        <f t="shared" si="8"/>
        <v>0.18111165086110809</v>
      </c>
      <c r="D70" s="195">
        <f t="shared" si="1"/>
        <v>464.00217886677518</v>
      </c>
      <c r="E70" s="196"/>
      <c r="F70" s="197"/>
      <c r="G70" s="198" t="s">
        <v>4</v>
      </c>
      <c r="H70" s="198"/>
      <c r="I70" s="198"/>
      <c r="J70" s="199">
        <f t="shared" si="14"/>
        <v>20</v>
      </c>
      <c r="K70" s="200">
        <f t="shared" si="10"/>
        <v>20</v>
      </c>
      <c r="L70" s="201">
        <f t="shared" si="11"/>
        <v>2.5648639900344682E-2</v>
      </c>
      <c r="M70" s="202">
        <f t="shared" si="3"/>
        <v>6.5710984037443101</v>
      </c>
      <c r="N70" s="203">
        <f t="shared" si="4"/>
        <v>424.17305938384197</v>
      </c>
      <c r="O70" s="204">
        <f t="shared" si="5"/>
        <v>404.17305938384197</v>
      </c>
      <c r="P70" s="205">
        <f t="shared" si="6"/>
        <v>4024.4876743014502</v>
      </c>
      <c r="Q70" s="209">
        <f>NPV($F$36,O44:O70)</f>
        <v>4024.4876743014502</v>
      </c>
      <c r="R70" s="192">
        <f t="shared" si="0"/>
        <v>0</v>
      </c>
      <c r="S70" s="207"/>
      <c r="T70" s="150"/>
      <c r="U70" s="145"/>
      <c r="V70" s="145"/>
      <c r="W70" s="145"/>
      <c r="X70" s="145"/>
      <c r="Y70" s="145"/>
      <c r="Z70" s="145"/>
      <c r="AA70" s="145"/>
      <c r="AB70" s="145"/>
      <c r="AC70" s="145"/>
    </row>
    <row r="71" spans="1:29" ht="15.75" x14ac:dyDescent="0.25">
      <c r="A71" s="192">
        <v>27</v>
      </c>
      <c r="B71" s="193">
        <f t="shared" si="7"/>
        <v>2549.157747595701</v>
      </c>
      <c r="C71" s="208">
        <f t="shared" si="8"/>
        <v>0.18292276736971916</v>
      </c>
      <c r="D71" s="195">
        <f t="shared" si="1"/>
        <v>466.29898965216569</v>
      </c>
      <c r="E71" s="196"/>
      <c r="F71" s="197"/>
      <c r="G71" s="198" t="s">
        <v>4</v>
      </c>
      <c r="H71" s="198"/>
      <c r="I71" s="198"/>
      <c r="J71" s="199">
        <f t="shared" si="14"/>
        <v>20</v>
      </c>
      <c r="K71" s="200">
        <f t="shared" si="10"/>
        <v>20</v>
      </c>
      <c r="L71" s="201">
        <f t="shared" si="11"/>
        <v>2.590512629934813E-2</v>
      </c>
      <c r="M71" s="202">
        <f t="shared" si="3"/>
        <v>6.6036253408428447</v>
      </c>
      <c r="N71" s="203">
        <f t="shared" si="4"/>
        <v>426.27271602779194</v>
      </c>
      <c r="O71" s="204">
        <f t="shared" si="5"/>
        <v>406.27271602779194</v>
      </c>
      <c r="P71" s="205">
        <f t="shared" si="6"/>
        <v>4430.760390329242</v>
      </c>
      <c r="Q71" s="209">
        <f>NPV($F$36,O44:O71)</f>
        <v>4430.760390329242</v>
      </c>
      <c r="R71" s="192">
        <f t="shared" si="0"/>
        <v>0</v>
      </c>
      <c r="S71" s="207"/>
      <c r="T71" s="150"/>
      <c r="U71" s="145"/>
      <c r="V71" s="145"/>
      <c r="W71" s="145"/>
      <c r="X71" s="145"/>
      <c r="Y71" s="145"/>
      <c r="Z71" s="145"/>
      <c r="AA71" s="145"/>
      <c r="AB71" s="145"/>
      <c r="AC71" s="145"/>
    </row>
    <row r="72" spans="1:29" ht="15.75" x14ac:dyDescent="0.25">
      <c r="A72" s="192">
        <v>28</v>
      </c>
      <c r="B72" s="193">
        <f t="shared" si="7"/>
        <v>2536.4119588577223</v>
      </c>
      <c r="C72" s="208">
        <f t="shared" si="8"/>
        <v>0.18475199504341636</v>
      </c>
      <c r="D72" s="195">
        <f t="shared" si="1"/>
        <v>468.60716965094389</v>
      </c>
      <c r="E72" s="196"/>
      <c r="F72" s="197"/>
      <c r="G72" s="198" t="s">
        <v>4</v>
      </c>
      <c r="H72" s="198"/>
      <c r="I72" s="198"/>
      <c r="J72" s="199">
        <f t="shared" si="14"/>
        <v>20</v>
      </c>
      <c r="K72" s="200">
        <f t="shared" si="10"/>
        <v>20</v>
      </c>
      <c r="L72" s="201">
        <f t="shared" si="11"/>
        <v>2.6164177562341611E-2</v>
      </c>
      <c r="M72" s="202">
        <f t="shared" si="3"/>
        <v>6.636313286280016</v>
      </c>
      <c r="N72" s="203">
        <f t="shared" si="4"/>
        <v>428.38276597212956</v>
      </c>
      <c r="O72" s="204">
        <f t="shared" si="5"/>
        <v>408.38276597212956</v>
      </c>
      <c r="P72" s="205">
        <f t="shared" si="6"/>
        <v>4839.1431563013712</v>
      </c>
      <c r="Q72" s="209">
        <f>NPV($F$36,O44:O72)</f>
        <v>4839.1431563013712</v>
      </c>
      <c r="R72" s="210">
        <f t="shared" si="0"/>
        <v>0</v>
      </c>
      <c r="S72" s="207"/>
      <c r="T72" s="150"/>
      <c r="U72" s="145"/>
      <c r="V72" s="145"/>
      <c r="W72" s="145"/>
      <c r="X72" s="145"/>
      <c r="Y72" s="145"/>
      <c r="Z72" s="145"/>
      <c r="AA72" s="145"/>
      <c r="AB72" s="145"/>
      <c r="AC72" s="145"/>
    </row>
    <row r="73" spans="1:29" ht="15.75" x14ac:dyDescent="0.25">
      <c r="A73" s="192">
        <v>29</v>
      </c>
      <c r="B73" s="211">
        <f t="shared" si="7"/>
        <v>2523.7298990634335</v>
      </c>
      <c r="C73" s="212">
        <f t="shared" si="8"/>
        <v>0.18659951499385052</v>
      </c>
      <c r="D73" s="213">
        <f t="shared" si="1"/>
        <v>470.92677514071602</v>
      </c>
      <c r="E73" s="214"/>
      <c r="F73" s="215"/>
      <c r="G73" s="198" t="s">
        <v>4</v>
      </c>
      <c r="H73" s="216"/>
      <c r="I73" s="216"/>
      <c r="J73" s="217">
        <f t="shared" si="14"/>
        <v>20</v>
      </c>
      <c r="K73" s="200">
        <f t="shared" si="10"/>
        <v>20</v>
      </c>
      <c r="L73" s="218">
        <f t="shared" si="11"/>
        <v>2.6425819337965027E-2</v>
      </c>
      <c r="M73" s="219">
        <f t="shared" si="3"/>
        <v>6.6691630370471016</v>
      </c>
      <c r="N73" s="220">
        <f t="shared" si="4"/>
        <v>430.50326066369155</v>
      </c>
      <c r="O73" s="204">
        <f t="shared" si="5"/>
        <v>410.50326066369155</v>
      </c>
      <c r="P73" s="221">
        <f t="shared" si="6"/>
        <v>5249.6464169650626</v>
      </c>
      <c r="Q73" s="209">
        <f>NPV($F$36,O44:O73)</f>
        <v>5249.6464169650626</v>
      </c>
      <c r="R73" s="222">
        <f t="shared" si="0"/>
        <v>0</v>
      </c>
      <c r="S73" s="223"/>
      <c r="T73" s="224"/>
      <c r="U73" s="225"/>
      <c r="V73" s="225"/>
      <c r="W73" s="225"/>
      <c r="X73" s="225"/>
      <c r="Y73" s="225"/>
      <c r="Z73" s="225"/>
      <c r="AA73" s="225"/>
      <c r="AB73" s="225"/>
      <c r="AC73" s="225"/>
    </row>
    <row r="74" spans="1:29" ht="15.75" x14ac:dyDescent="0.25">
      <c r="A74" s="192">
        <v>30</v>
      </c>
      <c r="B74" s="211">
        <f t="shared" si="7"/>
        <v>2511.1112495681164</v>
      </c>
      <c r="C74" s="212">
        <f t="shared" si="8"/>
        <v>0.18846551014378904</v>
      </c>
      <c r="D74" s="213">
        <f t="shared" si="1"/>
        <v>473.25786267766262</v>
      </c>
      <c r="E74" s="214"/>
      <c r="F74" s="215"/>
      <c r="G74" s="198" t="s">
        <v>4</v>
      </c>
      <c r="H74" s="216"/>
      <c r="I74" s="216"/>
      <c r="J74" s="217">
        <f t="shared" si="14"/>
        <v>20</v>
      </c>
      <c r="K74" s="200">
        <f t="shared" si="10"/>
        <v>20</v>
      </c>
      <c r="L74" s="218">
        <f t="shared" si="11"/>
        <v>2.6690077531344676E-2</v>
      </c>
      <c r="M74" s="219">
        <f t="shared" si="3"/>
        <v>6.7021753940804834</v>
      </c>
      <c r="N74" s="220">
        <f t="shared" si="4"/>
        <v>432.63425180397684</v>
      </c>
      <c r="O74" s="204">
        <f t="shared" si="5"/>
        <v>412.63425180397684</v>
      </c>
      <c r="P74" s="221">
        <f t="shared" si="6"/>
        <v>5662.280668769039</v>
      </c>
      <c r="Q74" s="209">
        <f>NPV($F$36,O44:O74)</f>
        <v>5662.280668769039</v>
      </c>
      <c r="R74" s="222">
        <f t="shared" si="0"/>
        <v>0</v>
      </c>
      <c r="S74" s="223"/>
      <c r="T74" s="224"/>
      <c r="U74" s="225"/>
      <c r="V74" s="225"/>
      <c r="W74" s="225"/>
      <c r="X74" s="225"/>
      <c r="Y74" s="225"/>
      <c r="Z74" s="225"/>
      <c r="AA74" s="225"/>
      <c r="AB74" s="225"/>
      <c r="AC74" s="225"/>
    </row>
    <row r="75" spans="1:29" ht="15.75" x14ac:dyDescent="0.25">
      <c r="A75" s="226" t="s">
        <v>34</v>
      </c>
      <c r="B75" s="227">
        <f>SUM(B44:B74)</f>
        <v>81088.861335944428</v>
      </c>
      <c r="C75" s="228"/>
      <c r="D75" s="229">
        <f>SUM(D44:D74)</f>
        <v>13228.81888846814</v>
      </c>
      <c r="E75" s="230"/>
      <c r="F75" s="230"/>
      <c r="G75" s="231">
        <f>SUM(G44:G74)</f>
        <v>0</v>
      </c>
      <c r="H75" s="231"/>
      <c r="I75" s="231"/>
      <c r="J75" s="232">
        <f>SUM(J44:J74)</f>
        <v>1076</v>
      </c>
      <c r="K75" s="231">
        <f>SUM(K44:K74)</f>
        <v>6431</v>
      </c>
      <c r="L75" s="228"/>
      <c r="M75" s="231">
        <f>SUM(M44:M74)</f>
        <v>187.34366914771405</v>
      </c>
      <c r="N75" s="232">
        <f>SUM(N44:N74)</f>
        <v>12093.280668769041</v>
      </c>
      <c r="O75" s="233"/>
      <c r="P75" s="234"/>
      <c r="Q75" s="235"/>
      <c r="R75" s="236">
        <f>SUM(R44:R73)</f>
        <v>15</v>
      </c>
      <c r="S75" s="224"/>
      <c r="T75" s="224"/>
      <c r="U75" s="225"/>
      <c r="V75" s="225"/>
      <c r="W75" s="225"/>
      <c r="X75" s="225"/>
      <c r="Y75" s="225"/>
      <c r="Z75" s="225"/>
      <c r="AA75" s="225"/>
      <c r="AB75" s="225"/>
      <c r="AC75" s="225"/>
    </row>
    <row r="76" spans="1:29" ht="15.75" x14ac:dyDescent="0.25">
      <c r="A76" s="145"/>
      <c r="B76" s="145"/>
      <c r="C76" s="145"/>
      <c r="D76" s="145"/>
      <c r="E76" s="145"/>
      <c r="F76" s="145"/>
      <c r="G76" s="145"/>
      <c r="H76" s="145"/>
      <c r="I76" s="145"/>
      <c r="J76" s="145"/>
      <c r="K76" s="145"/>
      <c r="L76" s="145"/>
      <c r="M76" s="237"/>
      <c r="N76" s="145"/>
      <c r="O76" s="145"/>
      <c r="P76" s="145"/>
      <c r="Q76" s="145"/>
      <c r="R76" s="145"/>
      <c r="S76" s="145"/>
      <c r="T76" s="145"/>
      <c r="U76" s="145"/>
      <c r="V76" s="145"/>
      <c r="W76" s="145"/>
      <c r="X76" s="145"/>
      <c r="Y76" s="145"/>
      <c r="Z76" s="145"/>
    </row>
    <row r="77" spans="1:29" ht="16.5" thickBot="1" x14ac:dyDescent="0.3">
      <c r="A77" s="238" t="s">
        <v>35</v>
      </c>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9" ht="15.75" x14ac:dyDescent="0.25">
      <c r="A78" s="404" t="s">
        <v>200</v>
      </c>
      <c r="B78" s="405"/>
      <c r="C78" s="405"/>
      <c r="D78" s="406"/>
      <c r="E78" s="239">
        <f>Q74</f>
        <v>5662.280668769039</v>
      </c>
      <c r="F78" s="240" t="s">
        <v>15</v>
      </c>
      <c r="G78" s="145"/>
      <c r="H78" s="145"/>
      <c r="I78" s="145"/>
      <c r="J78" s="145"/>
      <c r="K78" s="145"/>
      <c r="L78" s="145"/>
      <c r="M78" s="145"/>
      <c r="N78" s="145"/>
      <c r="O78" s="145"/>
      <c r="P78" s="145"/>
      <c r="Q78" s="145"/>
      <c r="R78" s="145"/>
      <c r="S78" s="145"/>
      <c r="T78" s="145"/>
      <c r="U78" s="145"/>
      <c r="V78" s="145"/>
      <c r="W78" s="145"/>
      <c r="X78" s="145"/>
      <c r="Y78" s="145"/>
      <c r="Z78" s="145"/>
    </row>
    <row r="79" spans="1:29" ht="15.75" x14ac:dyDescent="0.25">
      <c r="A79" s="407" t="s">
        <v>36</v>
      </c>
      <c r="B79" s="408"/>
      <c r="C79" s="408"/>
      <c r="D79" s="409"/>
      <c r="E79" s="241">
        <f>R75</f>
        <v>15</v>
      </c>
      <c r="F79" s="240" t="s">
        <v>37</v>
      </c>
      <c r="G79" s="145"/>
      <c r="H79" s="145"/>
      <c r="I79" s="145"/>
      <c r="J79" s="145"/>
      <c r="K79" s="145"/>
      <c r="L79" s="145"/>
      <c r="M79" s="145"/>
      <c r="N79" s="145"/>
      <c r="O79" s="145"/>
      <c r="P79" s="145"/>
      <c r="Q79" s="145"/>
      <c r="R79" s="145"/>
      <c r="S79" s="145"/>
      <c r="T79" s="145"/>
      <c r="U79" s="145"/>
      <c r="V79" s="145"/>
      <c r="W79" s="145"/>
      <c r="X79" s="145"/>
      <c r="Y79" s="145"/>
      <c r="Z79" s="145"/>
    </row>
    <row r="80" spans="1:29" ht="15.75" customHeight="1" x14ac:dyDescent="0.25">
      <c r="A80" s="410" t="s">
        <v>38</v>
      </c>
      <c r="B80" s="410"/>
      <c r="C80" s="410"/>
      <c r="D80" s="410"/>
      <c r="E80" s="242">
        <f>IRR(O44:O74,0.1)</f>
        <v>5.3149668080025192E-2</v>
      </c>
      <c r="F80" s="243"/>
      <c r="G80" s="145"/>
      <c r="H80" s="145"/>
      <c r="I80" s="145"/>
      <c r="J80" s="145"/>
      <c r="K80" s="145"/>
      <c r="L80" s="145"/>
      <c r="M80" s="145"/>
      <c r="N80" s="145"/>
      <c r="O80" s="145"/>
      <c r="P80" s="145"/>
      <c r="Q80" s="145"/>
      <c r="R80" s="145"/>
      <c r="S80" s="145"/>
      <c r="T80" s="145"/>
      <c r="U80" s="145"/>
      <c r="V80" s="145"/>
      <c r="W80" s="145"/>
      <c r="X80" s="145"/>
      <c r="Y80" s="145"/>
      <c r="Z80" s="145"/>
    </row>
    <row r="81" spans="1:26" ht="15.75" customHeight="1" x14ac:dyDescent="0.25">
      <c r="A81" s="238" t="s">
        <v>39</v>
      </c>
      <c r="B81" s="244"/>
      <c r="C81" s="244"/>
      <c r="D81" s="245"/>
      <c r="E81" s="246"/>
      <c r="F81" s="243"/>
      <c r="G81" s="145"/>
      <c r="H81" s="145"/>
      <c r="I81" s="145"/>
      <c r="J81" s="145"/>
      <c r="K81" s="145"/>
      <c r="L81" s="145"/>
      <c r="M81" s="145"/>
      <c r="N81" s="145"/>
      <c r="O81" s="145"/>
      <c r="P81" s="145"/>
      <c r="Q81" s="145"/>
      <c r="R81" s="145"/>
      <c r="S81" s="145"/>
      <c r="T81" s="145"/>
      <c r="U81" s="145"/>
      <c r="V81" s="145"/>
      <c r="W81" s="145"/>
      <c r="X81" s="145"/>
      <c r="Y81" s="145"/>
      <c r="Z81" s="145"/>
    </row>
    <row r="82" spans="1:26" ht="15.75" customHeight="1" x14ac:dyDescent="0.25">
      <c r="A82" s="411" t="s">
        <v>40</v>
      </c>
      <c r="B82" s="395"/>
      <c r="C82" s="395"/>
      <c r="D82" s="396"/>
      <c r="E82" s="247">
        <f>K75*100/B75</f>
        <v>7.930805654499081</v>
      </c>
      <c r="F82" s="248" t="s">
        <v>3</v>
      </c>
      <c r="G82" s="145"/>
      <c r="H82" s="145"/>
      <c r="I82" s="145"/>
      <c r="J82" s="145"/>
      <c r="K82" s="145"/>
      <c r="L82" s="145"/>
      <c r="M82" s="145"/>
      <c r="N82" s="145"/>
      <c r="O82" s="145"/>
      <c r="P82" s="145"/>
      <c r="Q82" s="145"/>
      <c r="R82" s="145"/>
      <c r="S82" s="145"/>
      <c r="T82" s="145"/>
      <c r="U82" s="145"/>
      <c r="V82" s="145"/>
      <c r="W82" s="145"/>
      <c r="X82" s="145"/>
      <c r="Y82" s="145"/>
      <c r="Z82" s="145"/>
    </row>
    <row r="83" spans="1:26" ht="15.75" customHeight="1" x14ac:dyDescent="0.25">
      <c r="A83" s="397" t="s">
        <v>41</v>
      </c>
      <c r="B83" s="395"/>
      <c r="C83" s="395"/>
      <c r="D83" s="396"/>
      <c r="E83" s="249">
        <f>AVERAGE(C44:C74)*100</f>
        <v>16.375005081742302</v>
      </c>
      <c r="F83" s="250" t="s">
        <v>42</v>
      </c>
      <c r="G83" s="145"/>
      <c r="H83" s="145"/>
      <c r="I83" s="145"/>
      <c r="J83" s="145"/>
      <c r="K83" s="145"/>
      <c r="L83" s="145"/>
      <c r="M83" s="145"/>
      <c r="N83" s="145"/>
      <c r="O83" s="145"/>
      <c r="P83" s="145"/>
      <c r="Q83" s="145"/>
      <c r="R83" s="145"/>
      <c r="S83" s="145"/>
      <c r="T83" s="145"/>
      <c r="U83" s="145"/>
      <c r="V83" s="145"/>
      <c r="W83" s="145"/>
      <c r="X83" s="145"/>
      <c r="Y83" s="145"/>
      <c r="Z83" s="145"/>
    </row>
    <row r="84" spans="1:26" ht="15.75" x14ac:dyDescent="0.25">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5.75" x14ac:dyDescent="0.25">
      <c r="A85" s="157" t="s">
        <v>4</v>
      </c>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5.75" x14ac:dyDescent="0.25">
      <c r="A86" s="251" t="s">
        <v>91</v>
      </c>
      <c r="B86" s="252"/>
      <c r="C86" s="252"/>
      <c r="D86" s="252"/>
      <c r="E86" s="252"/>
      <c r="F86" s="252"/>
      <c r="G86" s="252"/>
      <c r="H86" s="252"/>
      <c r="I86" s="252"/>
      <c r="J86" s="145"/>
      <c r="K86" s="145"/>
      <c r="L86" s="145"/>
      <c r="M86" s="145"/>
      <c r="N86" s="145"/>
      <c r="O86" s="145"/>
      <c r="P86" s="145"/>
      <c r="Q86" s="145"/>
      <c r="R86" s="145"/>
      <c r="S86" s="145"/>
      <c r="T86" s="145"/>
      <c r="U86" s="145"/>
      <c r="V86" s="145"/>
      <c r="W86" s="145"/>
      <c r="X86" s="145"/>
      <c r="Y86" s="145"/>
      <c r="Z86" s="145"/>
    </row>
    <row r="87" spans="1:26" ht="15.75" x14ac:dyDescent="0.25">
      <c r="A87" s="398" t="s">
        <v>92</v>
      </c>
      <c r="B87" s="398"/>
      <c r="C87" s="398"/>
      <c r="D87" s="253">
        <v>84</v>
      </c>
      <c r="E87" s="252" t="s">
        <v>93</v>
      </c>
      <c r="F87" s="252" t="s">
        <v>4</v>
      </c>
      <c r="G87" s="252" t="s">
        <v>6</v>
      </c>
      <c r="H87" s="100">
        <v>2024</v>
      </c>
      <c r="I87" s="10" t="s">
        <v>274</v>
      </c>
      <c r="J87" s="145"/>
      <c r="K87" s="145"/>
      <c r="L87" s="145"/>
      <c r="M87" s="145"/>
      <c r="N87" s="145"/>
      <c r="O87" s="145"/>
      <c r="P87" s="145"/>
      <c r="Q87" s="145"/>
      <c r="R87" s="145"/>
      <c r="S87" s="145"/>
      <c r="T87" s="145"/>
      <c r="U87" s="145"/>
      <c r="V87" s="145"/>
      <c r="W87" s="145"/>
      <c r="X87" s="145"/>
      <c r="Y87" s="145"/>
      <c r="Z87" s="145"/>
    </row>
    <row r="88" spans="1:26" ht="15.75" x14ac:dyDescent="0.25">
      <c r="A88" s="398" t="s">
        <v>95</v>
      </c>
      <c r="B88" s="398"/>
      <c r="C88" s="398"/>
      <c r="D88" s="253">
        <v>106</v>
      </c>
      <c r="E88" s="252" t="s">
        <v>93</v>
      </c>
      <c r="F88" s="252"/>
      <c r="G88" s="252" t="s">
        <v>6</v>
      </c>
      <c r="H88" s="100">
        <v>2024</v>
      </c>
      <c r="I88" s="10" t="s">
        <v>274</v>
      </c>
      <c r="J88" s="145"/>
      <c r="K88" s="145"/>
      <c r="L88" s="145"/>
      <c r="M88" s="145"/>
      <c r="N88" s="145"/>
      <c r="O88" s="145"/>
      <c r="P88" s="145"/>
      <c r="Q88" s="145"/>
      <c r="R88" s="145"/>
      <c r="S88" s="145"/>
      <c r="T88" s="145"/>
      <c r="U88" s="145"/>
      <c r="V88" s="145"/>
      <c r="W88" s="145"/>
      <c r="X88" s="145"/>
      <c r="Y88" s="145"/>
      <c r="Z88" s="145"/>
    </row>
    <row r="89" spans="1:26" ht="15.75" x14ac:dyDescent="0.25">
      <c r="A89" s="398" t="s">
        <v>96</v>
      </c>
      <c r="B89" s="398"/>
      <c r="C89" s="398"/>
      <c r="D89" s="254">
        <v>261.72000000000003</v>
      </c>
      <c r="E89" s="252" t="s">
        <v>93</v>
      </c>
      <c r="F89" s="252"/>
      <c r="G89" s="252" t="s">
        <v>6</v>
      </c>
      <c r="H89" s="252">
        <v>2019</v>
      </c>
      <c r="I89" s="10" t="s">
        <v>94</v>
      </c>
      <c r="J89" s="145"/>
      <c r="K89" s="145"/>
      <c r="L89" s="145"/>
      <c r="M89" s="145"/>
      <c r="N89" s="145"/>
      <c r="O89" s="145"/>
      <c r="P89" s="145"/>
      <c r="Q89" s="145"/>
      <c r="R89" s="145"/>
      <c r="S89" s="145"/>
      <c r="T89" s="145"/>
      <c r="U89" s="145"/>
      <c r="V89" s="145"/>
      <c r="W89" s="145"/>
      <c r="X89" s="145"/>
      <c r="Y89" s="145"/>
      <c r="Z89" s="145"/>
    </row>
    <row r="90" spans="1:26" ht="15.75" x14ac:dyDescent="0.25">
      <c r="A90" s="398" t="s">
        <v>97</v>
      </c>
      <c r="B90" s="398"/>
      <c r="C90" s="398"/>
      <c r="D90" s="254">
        <f>(F21*D87)/1000</f>
        <v>243.93600000000001</v>
      </c>
      <c r="E90" s="252" t="s">
        <v>98</v>
      </c>
      <c r="F90" s="252" t="s">
        <v>4</v>
      </c>
      <c r="G90" s="252"/>
      <c r="H90" s="252"/>
      <c r="I90" s="252"/>
      <c r="J90" s="145"/>
      <c r="K90" s="145"/>
      <c r="L90" s="145"/>
      <c r="M90" s="145"/>
      <c r="N90" s="145"/>
      <c r="O90" s="145"/>
      <c r="P90" s="145"/>
      <c r="Q90" s="145"/>
      <c r="R90" s="145"/>
      <c r="S90" s="145"/>
      <c r="T90" s="145"/>
      <c r="U90" s="145"/>
      <c r="V90" s="145"/>
      <c r="W90" s="145"/>
      <c r="X90" s="145"/>
      <c r="Y90" s="145"/>
      <c r="Z90" s="145"/>
    </row>
    <row r="91" spans="1:26" ht="15.75" x14ac:dyDescent="0.25">
      <c r="A91" s="398" t="s">
        <v>120</v>
      </c>
      <c r="B91" s="398"/>
      <c r="C91" s="398"/>
      <c r="D91" s="254">
        <f>(F21*D87)/1000-0</f>
        <v>243.93600000000001</v>
      </c>
      <c r="E91" s="252" t="s">
        <v>98</v>
      </c>
      <c r="F91" s="252"/>
      <c r="G91" s="252" t="s">
        <v>275</v>
      </c>
      <c r="H91" s="252"/>
      <c r="I91" s="10" t="s">
        <v>276</v>
      </c>
      <c r="J91" s="145"/>
      <c r="K91" s="145"/>
      <c r="L91" s="145"/>
      <c r="M91" s="145"/>
      <c r="N91" s="145"/>
      <c r="O91" s="145"/>
      <c r="P91" s="145"/>
      <c r="Q91" s="145"/>
      <c r="R91" s="145"/>
      <c r="S91" s="145"/>
      <c r="T91" s="145"/>
      <c r="U91" s="145"/>
      <c r="V91" s="145"/>
      <c r="W91" s="145"/>
      <c r="X91" s="145"/>
      <c r="Y91" s="145"/>
      <c r="Z91" s="145"/>
    </row>
    <row r="92" spans="1:26" ht="15.75" x14ac:dyDescent="0.25">
      <c r="A92" s="255" t="s">
        <v>4</v>
      </c>
      <c r="B92" s="225"/>
      <c r="C92" s="225"/>
      <c r="D92" s="22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5.75" x14ac:dyDescent="0.25">
      <c r="A93" s="238"/>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5.75" x14ac:dyDescent="0.25">
      <c r="A94" s="148" t="s">
        <v>201</v>
      </c>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5.75" x14ac:dyDescent="0.25">
      <c r="A95" s="399" t="s">
        <v>11</v>
      </c>
      <c r="B95" s="395"/>
      <c r="C95" s="396"/>
      <c r="D95" s="256">
        <v>3300</v>
      </c>
      <c r="E95" s="155" t="s">
        <v>202</v>
      </c>
      <c r="F95" s="145" t="s">
        <v>203</v>
      </c>
      <c r="G95" s="145"/>
      <c r="H95" s="145"/>
      <c r="I95" s="145"/>
      <c r="J95" s="145"/>
      <c r="K95" s="145"/>
      <c r="L95" s="145"/>
      <c r="M95" s="145"/>
      <c r="N95" s="145"/>
      <c r="O95" s="145"/>
      <c r="P95" s="145"/>
      <c r="Q95" s="145"/>
      <c r="R95" s="145"/>
      <c r="S95" s="145"/>
      <c r="T95" s="145"/>
      <c r="U95" s="145"/>
      <c r="V95" s="145"/>
      <c r="W95" s="145"/>
      <c r="X95" s="145"/>
      <c r="Y95" s="145"/>
      <c r="Z95" s="145"/>
    </row>
    <row r="96" spans="1:26" ht="15.75" x14ac:dyDescent="0.25">
      <c r="A96" s="399" t="s">
        <v>204</v>
      </c>
      <c r="B96" s="395"/>
      <c r="C96" s="396"/>
      <c r="D96" s="161">
        <v>0.13</v>
      </c>
      <c r="E96" s="155" t="s">
        <v>8</v>
      </c>
      <c r="F96" s="145"/>
      <c r="G96" s="145"/>
      <c r="H96" s="145"/>
      <c r="I96" s="145"/>
      <c r="J96" s="145"/>
      <c r="K96" s="145"/>
      <c r="L96" s="145"/>
      <c r="M96" s="145"/>
      <c r="N96" s="145"/>
      <c r="O96" s="145"/>
      <c r="P96" s="145"/>
      <c r="Q96" s="145"/>
      <c r="R96" s="145"/>
      <c r="S96" s="145"/>
      <c r="T96" s="145"/>
      <c r="U96" s="145"/>
      <c r="V96" s="145"/>
      <c r="W96" s="145"/>
      <c r="X96" s="145"/>
      <c r="Y96" s="145"/>
      <c r="Z96" s="145"/>
    </row>
    <row r="97" spans="1:26" ht="15.75" x14ac:dyDescent="0.25">
      <c r="A97" s="399" t="s">
        <v>205</v>
      </c>
      <c r="B97" s="395"/>
      <c r="C97" s="396"/>
      <c r="D97" s="161">
        <v>0.4</v>
      </c>
      <c r="E97" s="145" t="s">
        <v>8</v>
      </c>
      <c r="F97" s="145" t="s">
        <v>206</v>
      </c>
      <c r="G97" s="145"/>
      <c r="H97" s="145"/>
      <c r="I97" s="145"/>
      <c r="J97" s="145"/>
      <c r="K97" s="145"/>
      <c r="L97" s="145"/>
      <c r="M97" s="145"/>
      <c r="N97" s="145"/>
      <c r="O97" s="145"/>
      <c r="P97" s="145"/>
      <c r="Q97" s="145"/>
      <c r="R97" s="145"/>
      <c r="S97" s="145"/>
      <c r="T97" s="145"/>
      <c r="U97" s="145"/>
      <c r="V97" s="145"/>
      <c r="W97" s="145"/>
      <c r="X97" s="145"/>
      <c r="Y97" s="145"/>
      <c r="Z97" s="145"/>
    </row>
    <row r="98" spans="1:26" ht="15.75" x14ac:dyDescent="0.25">
      <c r="A98" s="400" t="s">
        <v>207</v>
      </c>
      <c r="B98" s="395"/>
      <c r="C98" s="396"/>
      <c r="D98" s="192">
        <f>D95/250*1.7</f>
        <v>22.439999999999998</v>
      </c>
      <c r="E98" s="145" t="s">
        <v>14</v>
      </c>
      <c r="F98" s="145"/>
      <c r="G98" s="145"/>
      <c r="H98" s="145"/>
      <c r="I98" s="145"/>
      <c r="J98" s="145"/>
      <c r="K98" s="145"/>
      <c r="L98" s="145"/>
      <c r="M98" s="145"/>
      <c r="N98" s="145"/>
      <c r="O98" s="145"/>
      <c r="P98" s="145"/>
      <c r="Q98" s="145"/>
      <c r="R98" s="145"/>
      <c r="S98" s="145"/>
      <c r="T98" s="145"/>
      <c r="U98" s="145"/>
      <c r="V98" s="145"/>
      <c r="W98" s="145"/>
      <c r="X98" s="145"/>
      <c r="Y98" s="145"/>
      <c r="Z98" s="145"/>
    </row>
    <row r="99" spans="1:26" ht="15.75" x14ac:dyDescent="0.25">
      <c r="A99" s="174"/>
      <c r="B99" s="175"/>
      <c r="C99" s="175"/>
      <c r="D99" s="176"/>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5.75" x14ac:dyDescent="0.25">
      <c r="A100" s="149"/>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05" x14ac:dyDescent="0.25">
      <c r="A101" s="257" t="s">
        <v>208</v>
      </c>
      <c r="B101" s="258" t="s">
        <v>209</v>
      </c>
      <c r="C101" s="258" t="s">
        <v>210</v>
      </c>
      <c r="D101" s="258" t="s">
        <v>211</v>
      </c>
      <c r="E101" s="258" t="s">
        <v>212</v>
      </c>
      <c r="F101" s="258" t="s">
        <v>213</v>
      </c>
      <c r="G101" s="259" t="s">
        <v>214</v>
      </c>
      <c r="H101" s="258" t="s">
        <v>215</v>
      </c>
      <c r="I101" s="258" t="s">
        <v>216</v>
      </c>
      <c r="J101" s="258" t="s">
        <v>217</v>
      </c>
      <c r="K101" s="258" t="s">
        <v>218</v>
      </c>
      <c r="L101" s="258" t="s">
        <v>219</v>
      </c>
      <c r="M101" s="150"/>
      <c r="N101" s="145"/>
      <c r="O101" s="145"/>
      <c r="P101" s="145"/>
      <c r="Q101" s="145"/>
      <c r="R101" s="145"/>
      <c r="S101" s="145"/>
      <c r="T101" s="145"/>
      <c r="U101" s="145"/>
      <c r="V101" s="145"/>
      <c r="W101" s="145"/>
      <c r="X101" s="145"/>
      <c r="Y101" s="145"/>
      <c r="Z101" s="145"/>
    </row>
    <row r="102" spans="1:26" ht="15.75" x14ac:dyDescent="0.25">
      <c r="A102" s="260" t="s">
        <v>62</v>
      </c>
      <c r="B102" s="192">
        <v>31</v>
      </c>
      <c r="C102" s="261">
        <f>0.09*F16</f>
        <v>1107</v>
      </c>
      <c r="D102" s="262">
        <v>0.32</v>
      </c>
      <c r="E102" s="151">
        <f>($F$14*10)</f>
        <v>141.22514999999999</v>
      </c>
      <c r="F102" s="151">
        <f>$F$24*10</f>
        <v>20</v>
      </c>
      <c r="G102" s="263">
        <f t="shared" ref="G102:G113" si="15">D102*B102*$D$98*$D$96</f>
        <v>28.938623999999997</v>
      </c>
      <c r="H102" s="264">
        <f t="shared" ref="H102:H113" si="16">IF(C102*$D$97-G102&gt;0, G102,$D$97*C102)</f>
        <v>28.938623999999997</v>
      </c>
      <c r="I102" s="264">
        <f t="shared" ref="I102:I113" si="17">G102-H102</f>
        <v>0</v>
      </c>
      <c r="J102" s="264">
        <f t="shared" ref="J102:J113" si="18">C102-H102</f>
        <v>1078.0613760000001</v>
      </c>
      <c r="K102" s="208">
        <f t="shared" ref="K102:K113" si="19">G102*E102/1000</f>
        <v>4.0868615151935987</v>
      </c>
      <c r="L102" s="208">
        <f t="shared" ref="L102:L113" si="20">I102*F102/1000</f>
        <v>0</v>
      </c>
      <c r="M102" s="150"/>
      <c r="N102" s="145"/>
      <c r="O102" s="145"/>
      <c r="P102" s="145"/>
      <c r="Q102" s="145"/>
      <c r="R102" s="145"/>
      <c r="S102" s="145"/>
      <c r="T102" s="145"/>
      <c r="U102" s="145"/>
      <c r="V102" s="145"/>
      <c r="W102" s="145"/>
      <c r="X102" s="145"/>
      <c r="Y102" s="145"/>
      <c r="Z102" s="145"/>
    </row>
    <row r="103" spans="1:26" ht="15.75" x14ac:dyDescent="0.25">
      <c r="A103" s="260" t="s">
        <v>63</v>
      </c>
      <c r="B103" s="192">
        <v>28</v>
      </c>
      <c r="C103" s="261">
        <f>0.09*F16</f>
        <v>1107</v>
      </c>
      <c r="D103" s="262">
        <v>1.1000000000000001</v>
      </c>
      <c r="E103" s="151">
        <f t="shared" ref="E103:E113" si="21">($F$14*10)</f>
        <v>141.22514999999999</v>
      </c>
      <c r="F103" s="151">
        <f t="shared" ref="F103:F113" si="22">$F$24*10</f>
        <v>20</v>
      </c>
      <c r="G103" s="263">
        <f t="shared" si="15"/>
        <v>89.849760000000003</v>
      </c>
      <c r="H103" s="264">
        <f t="shared" si="16"/>
        <v>89.849760000000003</v>
      </c>
      <c r="I103" s="264">
        <f t="shared" si="17"/>
        <v>0</v>
      </c>
      <c r="J103" s="264">
        <f t="shared" si="18"/>
        <v>1017.1502399999999</v>
      </c>
      <c r="K103" s="208">
        <f t="shared" si="19"/>
        <v>12.689045833463998</v>
      </c>
      <c r="L103" s="208">
        <f t="shared" si="20"/>
        <v>0</v>
      </c>
      <c r="M103" s="150"/>
      <c r="N103" s="145"/>
      <c r="O103" s="145"/>
      <c r="P103" s="145"/>
      <c r="Q103" s="145"/>
      <c r="R103" s="145"/>
      <c r="S103" s="145"/>
      <c r="T103" s="145"/>
      <c r="U103" s="145"/>
      <c r="V103" s="145"/>
      <c r="W103" s="145"/>
      <c r="X103" s="145"/>
      <c r="Y103" s="145"/>
      <c r="Z103" s="145"/>
    </row>
    <row r="104" spans="1:26" ht="15.75" x14ac:dyDescent="0.25">
      <c r="A104" s="260" t="s">
        <v>64</v>
      </c>
      <c r="B104" s="192">
        <v>31</v>
      </c>
      <c r="C104" s="261">
        <f>0.084*F16</f>
        <v>1033.2</v>
      </c>
      <c r="D104" s="262">
        <v>2.44</v>
      </c>
      <c r="E104" s="151">
        <f t="shared" si="21"/>
        <v>141.22514999999999</v>
      </c>
      <c r="F104" s="151">
        <f t="shared" si="22"/>
        <v>20</v>
      </c>
      <c r="G104" s="263">
        <f t="shared" si="15"/>
        <v>220.65700799999999</v>
      </c>
      <c r="H104" s="264">
        <f t="shared" si="16"/>
        <v>220.65700799999999</v>
      </c>
      <c r="I104" s="264">
        <f t="shared" si="17"/>
        <v>0</v>
      </c>
      <c r="J104" s="264">
        <f t="shared" si="18"/>
        <v>812.54299200000003</v>
      </c>
      <c r="K104" s="208">
        <f t="shared" si="19"/>
        <v>31.162319053351194</v>
      </c>
      <c r="L104" s="208">
        <f t="shared" si="20"/>
        <v>0</v>
      </c>
      <c r="M104" s="150"/>
      <c r="N104" s="145"/>
      <c r="O104" s="145"/>
      <c r="P104" s="145"/>
      <c r="Q104" s="145"/>
      <c r="R104" s="145"/>
      <c r="S104" s="145"/>
      <c r="T104" s="145"/>
      <c r="U104" s="145"/>
      <c r="V104" s="145"/>
      <c r="W104" s="145"/>
      <c r="X104" s="145"/>
      <c r="Y104" s="145"/>
      <c r="Z104" s="145"/>
    </row>
    <row r="105" spans="1:26" ht="15.75" x14ac:dyDescent="0.25">
      <c r="A105" s="260" t="s">
        <v>65</v>
      </c>
      <c r="B105" s="192">
        <v>30</v>
      </c>
      <c r="C105" s="261">
        <f>0.084*F16</f>
        <v>1033.2</v>
      </c>
      <c r="D105" s="262">
        <v>3.96</v>
      </c>
      <c r="E105" s="151">
        <f t="shared" si="21"/>
        <v>141.22514999999999</v>
      </c>
      <c r="F105" s="151">
        <f t="shared" si="22"/>
        <v>20</v>
      </c>
      <c r="G105" s="263">
        <f t="shared" si="15"/>
        <v>346.56335999999999</v>
      </c>
      <c r="H105" s="264">
        <f t="shared" si="16"/>
        <v>346.56335999999999</v>
      </c>
      <c r="I105" s="264">
        <f t="shared" si="17"/>
        <v>0</v>
      </c>
      <c r="J105" s="264">
        <f t="shared" si="18"/>
        <v>686.63664000000006</v>
      </c>
      <c r="K105" s="208">
        <f t="shared" si="19"/>
        <v>48.94346250050399</v>
      </c>
      <c r="L105" s="208">
        <f t="shared" si="20"/>
        <v>0</v>
      </c>
      <c r="M105" s="150"/>
      <c r="N105" s="145"/>
      <c r="O105" s="145"/>
      <c r="P105" s="145"/>
      <c r="Q105" s="145"/>
      <c r="R105" s="145"/>
      <c r="S105" s="145"/>
      <c r="T105" s="145"/>
      <c r="U105" s="145"/>
      <c r="V105" s="145"/>
      <c r="W105" s="145"/>
      <c r="X105" s="145"/>
      <c r="Y105" s="145"/>
      <c r="Z105" s="145"/>
    </row>
    <row r="106" spans="1:26" ht="15.75" x14ac:dyDescent="0.25">
      <c r="A106" s="260" t="s">
        <v>66</v>
      </c>
      <c r="B106" s="192">
        <v>31</v>
      </c>
      <c r="C106" s="261">
        <f>0.079*F16</f>
        <v>971.7</v>
      </c>
      <c r="D106" s="262">
        <v>5.41</v>
      </c>
      <c r="E106" s="151">
        <f t="shared" si="21"/>
        <v>141.22514999999999</v>
      </c>
      <c r="F106" s="151">
        <f t="shared" si="22"/>
        <v>20</v>
      </c>
      <c r="G106" s="263">
        <f t="shared" si="15"/>
        <v>489.24361199999998</v>
      </c>
      <c r="H106" s="264">
        <f t="shared" si="16"/>
        <v>388.68000000000006</v>
      </c>
      <c r="I106" s="264">
        <f t="shared" si="17"/>
        <v>100.56361199999992</v>
      </c>
      <c r="J106" s="264">
        <f t="shared" si="18"/>
        <v>583.02</v>
      </c>
      <c r="K106" s="208">
        <f t="shared" si="19"/>
        <v>69.093502491241793</v>
      </c>
      <c r="L106" s="208">
        <f t="shared" si="20"/>
        <v>2.0112722399999985</v>
      </c>
      <c r="M106" s="150"/>
      <c r="N106" s="145"/>
      <c r="O106" s="145"/>
      <c r="P106" s="145"/>
      <c r="Q106" s="145"/>
      <c r="R106" s="145"/>
      <c r="S106" s="145"/>
      <c r="T106" s="145"/>
      <c r="U106" s="145"/>
      <c r="V106" s="145"/>
      <c r="W106" s="145"/>
      <c r="X106" s="145"/>
      <c r="Y106" s="145"/>
      <c r="Z106" s="145"/>
    </row>
    <row r="107" spans="1:26" ht="15.75" x14ac:dyDescent="0.25">
      <c r="A107" s="260" t="s">
        <v>67</v>
      </c>
      <c r="B107" s="192">
        <v>30</v>
      </c>
      <c r="C107" s="261">
        <f>0.07*F16</f>
        <v>861.00000000000011</v>
      </c>
      <c r="D107" s="262">
        <v>5.63</v>
      </c>
      <c r="E107" s="151">
        <f t="shared" si="21"/>
        <v>141.22514999999999</v>
      </c>
      <c r="F107" s="151">
        <f t="shared" si="22"/>
        <v>20</v>
      </c>
      <c r="G107" s="263">
        <f t="shared" si="15"/>
        <v>492.71507999999994</v>
      </c>
      <c r="H107" s="264">
        <f t="shared" si="16"/>
        <v>344.40000000000009</v>
      </c>
      <c r="I107" s="264">
        <f t="shared" si="17"/>
        <v>148.31507999999985</v>
      </c>
      <c r="J107" s="264">
        <f t="shared" si="18"/>
        <v>516.6</v>
      </c>
      <c r="K107" s="208">
        <f t="shared" si="19"/>
        <v>69.583761080261993</v>
      </c>
      <c r="L107" s="208">
        <f t="shared" si="20"/>
        <v>2.9663015999999969</v>
      </c>
      <c r="M107" s="150"/>
      <c r="N107" s="145"/>
      <c r="O107" s="145"/>
      <c r="P107" s="145"/>
      <c r="Q107" s="145"/>
      <c r="R107" s="145"/>
      <c r="S107" s="145"/>
      <c r="T107" s="145"/>
      <c r="U107" s="145"/>
      <c r="V107" s="145"/>
      <c r="W107" s="145"/>
      <c r="X107" s="145"/>
      <c r="Y107" s="145"/>
      <c r="Z107" s="145"/>
    </row>
    <row r="108" spans="1:26" ht="15.75" x14ac:dyDescent="0.25">
      <c r="A108" s="260" t="s">
        <v>68</v>
      </c>
      <c r="B108" s="192">
        <v>31</v>
      </c>
      <c r="C108" s="261">
        <f>0.07*F16</f>
        <v>861.00000000000011</v>
      </c>
      <c r="D108" s="262">
        <v>5.6</v>
      </c>
      <c r="E108" s="151">
        <f t="shared" si="21"/>
        <v>141.22514999999999</v>
      </c>
      <c r="F108" s="151">
        <f t="shared" si="22"/>
        <v>20</v>
      </c>
      <c r="G108" s="263">
        <f t="shared" si="15"/>
        <v>506.42591999999996</v>
      </c>
      <c r="H108" s="264">
        <f t="shared" si="16"/>
        <v>344.40000000000009</v>
      </c>
      <c r="I108" s="264">
        <f t="shared" si="17"/>
        <v>162.02591999999987</v>
      </c>
      <c r="J108" s="264">
        <f t="shared" si="18"/>
        <v>516.6</v>
      </c>
      <c r="K108" s="208">
        <f t="shared" si="19"/>
        <v>71.520076515887979</v>
      </c>
      <c r="L108" s="208">
        <f t="shared" si="20"/>
        <v>3.2405183999999974</v>
      </c>
      <c r="M108" s="150"/>
      <c r="N108" s="145"/>
      <c r="O108" s="145"/>
      <c r="P108" s="145"/>
      <c r="Q108" s="145"/>
      <c r="R108" s="145"/>
      <c r="S108" s="145"/>
      <c r="T108" s="145"/>
      <c r="U108" s="145"/>
      <c r="V108" s="145"/>
      <c r="W108" s="145"/>
      <c r="X108" s="145"/>
      <c r="Y108" s="145"/>
      <c r="Z108" s="145"/>
    </row>
    <row r="109" spans="1:26" ht="15.75" x14ac:dyDescent="0.25">
      <c r="A109" s="260" t="s">
        <v>69</v>
      </c>
      <c r="B109" s="192">
        <v>31</v>
      </c>
      <c r="C109" s="261">
        <f>0.079*F16</f>
        <v>971.7</v>
      </c>
      <c r="D109" s="262">
        <v>4.09</v>
      </c>
      <c r="E109" s="151">
        <f t="shared" si="21"/>
        <v>141.22514999999999</v>
      </c>
      <c r="F109" s="151">
        <f t="shared" si="22"/>
        <v>20</v>
      </c>
      <c r="G109" s="263">
        <f t="shared" si="15"/>
        <v>369.87178799999992</v>
      </c>
      <c r="H109" s="264">
        <f t="shared" si="16"/>
        <v>369.87178799999992</v>
      </c>
      <c r="I109" s="264">
        <f t="shared" si="17"/>
        <v>0</v>
      </c>
      <c r="J109" s="264">
        <f t="shared" si="18"/>
        <v>601.82821200000012</v>
      </c>
      <c r="K109" s="208">
        <f t="shared" si="19"/>
        <v>52.235198741068182</v>
      </c>
      <c r="L109" s="208">
        <f t="shared" si="20"/>
        <v>0</v>
      </c>
      <c r="M109" s="150"/>
      <c r="N109" s="145"/>
      <c r="O109" s="145"/>
      <c r="P109" s="145"/>
      <c r="Q109" s="145"/>
      <c r="R109" s="145"/>
      <c r="S109" s="145"/>
      <c r="T109" s="145"/>
      <c r="U109" s="145"/>
      <c r="V109" s="145"/>
      <c r="W109" s="145"/>
      <c r="X109" s="145"/>
      <c r="Y109" s="145"/>
      <c r="Z109" s="145"/>
    </row>
    <row r="110" spans="1:26" ht="15.75" x14ac:dyDescent="0.25">
      <c r="A110" s="260" t="s">
        <v>70</v>
      </c>
      <c r="B110" s="192">
        <v>30</v>
      </c>
      <c r="C110" s="261">
        <f>0.084*F16</f>
        <v>1033.2</v>
      </c>
      <c r="D110" s="262">
        <v>2.54</v>
      </c>
      <c r="E110" s="151">
        <f t="shared" si="21"/>
        <v>141.22514999999999</v>
      </c>
      <c r="F110" s="151">
        <f t="shared" si="22"/>
        <v>20</v>
      </c>
      <c r="G110" s="263">
        <f t="shared" si="15"/>
        <v>222.29064</v>
      </c>
      <c r="H110" s="264">
        <f t="shared" si="16"/>
        <v>222.29064</v>
      </c>
      <c r="I110" s="264">
        <f t="shared" si="17"/>
        <v>0</v>
      </c>
      <c r="J110" s="264">
        <f t="shared" si="18"/>
        <v>810.90936000000011</v>
      </c>
      <c r="K110" s="208">
        <f t="shared" si="19"/>
        <v>31.393028977595996</v>
      </c>
      <c r="L110" s="208">
        <f t="shared" si="20"/>
        <v>0</v>
      </c>
      <c r="M110" s="150"/>
      <c r="N110" s="145"/>
      <c r="O110" s="145"/>
      <c r="P110" s="145"/>
      <c r="Q110" s="145"/>
      <c r="R110" s="145"/>
      <c r="S110" s="145"/>
      <c r="T110" s="145"/>
      <c r="U110" s="145"/>
      <c r="V110" s="145"/>
      <c r="W110" s="145"/>
      <c r="X110" s="145"/>
      <c r="Y110" s="145"/>
      <c r="Z110" s="145"/>
    </row>
    <row r="111" spans="1:26" ht="15.75" x14ac:dyDescent="0.25">
      <c r="A111" s="260" t="s">
        <v>71</v>
      </c>
      <c r="B111" s="192">
        <v>31</v>
      </c>
      <c r="C111" s="261">
        <f>0.09*F16</f>
        <v>1107</v>
      </c>
      <c r="D111" s="262">
        <v>1.18</v>
      </c>
      <c r="E111" s="151">
        <f t="shared" si="21"/>
        <v>141.22514999999999</v>
      </c>
      <c r="F111" s="151">
        <f t="shared" si="22"/>
        <v>20</v>
      </c>
      <c r="G111" s="263">
        <f t="shared" si="15"/>
        <v>106.71117599999998</v>
      </c>
      <c r="H111" s="264">
        <f t="shared" si="16"/>
        <v>106.71117599999998</v>
      </c>
      <c r="I111" s="264">
        <f t="shared" si="17"/>
        <v>0</v>
      </c>
      <c r="J111" s="264">
        <f t="shared" si="18"/>
        <v>1000.288824</v>
      </c>
      <c r="K111" s="208">
        <f t="shared" si="19"/>
        <v>15.070301837276396</v>
      </c>
      <c r="L111" s="208">
        <f t="shared" si="20"/>
        <v>0</v>
      </c>
      <c r="M111" s="150"/>
      <c r="N111" s="145"/>
      <c r="O111" s="145"/>
      <c r="P111" s="145"/>
      <c r="Q111" s="145"/>
      <c r="R111" s="145"/>
      <c r="S111" s="145"/>
      <c r="T111" s="145"/>
      <c r="U111" s="145"/>
      <c r="V111" s="145"/>
      <c r="W111" s="145"/>
      <c r="X111" s="145"/>
      <c r="Y111" s="145"/>
      <c r="Z111" s="145"/>
    </row>
    <row r="112" spans="1:26" ht="15.75" x14ac:dyDescent="0.25">
      <c r="A112" s="260" t="s">
        <v>72</v>
      </c>
      <c r="B112" s="192">
        <v>30</v>
      </c>
      <c r="C112" s="261">
        <f>0.09*F16</f>
        <v>1107</v>
      </c>
      <c r="D112" s="262">
        <v>0.5</v>
      </c>
      <c r="E112" s="151">
        <f t="shared" si="21"/>
        <v>141.22514999999999</v>
      </c>
      <c r="F112" s="151">
        <f t="shared" si="22"/>
        <v>20</v>
      </c>
      <c r="G112" s="263">
        <f t="shared" si="15"/>
        <v>43.757999999999996</v>
      </c>
      <c r="H112" s="264">
        <f t="shared" si="16"/>
        <v>43.757999999999996</v>
      </c>
      <c r="I112" s="264">
        <f t="shared" si="17"/>
        <v>0</v>
      </c>
      <c r="J112" s="264">
        <f t="shared" si="18"/>
        <v>1063.242</v>
      </c>
      <c r="K112" s="208">
        <f t="shared" si="19"/>
        <v>6.1797301136999989</v>
      </c>
      <c r="L112" s="208">
        <f t="shared" si="20"/>
        <v>0</v>
      </c>
      <c r="M112" s="150"/>
      <c r="N112" s="145"/>
      <c r="O112" s="145"/>
      <c r="P112" s="145"/>
      <c r="Q112" s="145"/>
      <c r="R112" s="145"/>
      <c r="S112" s="145"/>
      <c r="T112" s="145"/>
      <c r="U112" s="145"/>
      <c r="V112" s="145"/>
      <c r="W112" s="145"/>
      <c r="X112" s="145"/>
      <c r="Y112" s="145"/>
      <c r="Z112" s="145"/>
    </row>
    <row r="113" spans="1:26" ht="15.75" x14ac:dyDescent="0.25">
      <c r="A113" s="260" t="s">
        <v>73</v>
      </c>
      <c r="B113" s="192">
        <v>31</v>
      </c>
      <c r="C113" s="261">
        <f>0.09*F16</f>
        <v>1107</v>
      </c>
      <c r="D113" s="262">
        <v>0.2</v>
      </c>
      <c r="E113" s="151">
        <f t="shared" si="21"/>
        <v>141.22514999999999</v>
      </c>
      <c r="F113" s="151">
        <f t="shared" si="22"/>
        <v>20</v>
      </c>
      <c r="G113" s="263">
        <f t="shared" si="15"/>
        <v>18.086639999999999</v>
      </c>
      <c r="H113" s="264">
        <f t="shared" si="16"/>
        <v>18.086639999999999</v>
      </c>
      <c r="I113" s="264">
        <f t="shared" si="17"/>
        <v>0</v>
      </c>
      <c r="J113" s="264">
        <f t="shared" si="18"/>
        <v>1088.91336</v>
      </c>
      <c r="K113" s="208">
        <f t="shared" si="19"/>
        <v>2.5542884469959994</v>
      </c>
      <c r="L113" s="208">
        <f t="shared" si="20"/>
        <v>0</v>
      </c>
      <c r="M113" s="150"/>
      <c r="N113" s="145"/>
      <c r="O113" s="145"/>
      <c r="P113" s="145"/>
      <c r="Q113" s="145"/>
      <c r="R113" s="145"/>
      <c r="S113" s="145"/>
      <c r="T113" s="145"/>
      <c r="U113" s="145"/>
      <c r="V113" s="145"/>
      <c r="W113" s="145"/>
      <c r="X113" s="145"/>
      <c r="Y113" s="145"/>
      <c r="Z113" s="145"/>
    </row>
    <row r="114" spans="1:26" ht="15.75" x14ac:dyDescent="0.25">
      <c r="A114" s="265" t="s">
        <v>220</v>
      </c>
      <c r="B114" s="264">
        <f t="shared" ref="B114:C114" si="23">SUM(B102:B113)</f>
        <v>365</v>
      </c>
      <c r="C114" s="257">
        <f t="shared" si="23"/>
        <v>12300</v>
      </c>
      <c r="D114" s="192"/>
      <c r="E114" s="145"/>
      <c r="F114" s="145"/>
      <c r="G114" s="266">
        <f t="shared" ref="G114:L114" si="24">SUM(G102:G113)</f>
        <v>2935.1116079999997</v>
      </c>
      <c r="H114" s="267">
        <f t="shared" si="24"/>
        <v>2524.2069959999999</v>
      </c>
      <c r="I114" s="268">
        <f t="shared" si="24"/>
        <v>410.90461199999964</v>
      </c>
      <c r="J114" s="268">
        <f t="shared" si="24"/>
        <v>9775.793004000001</v>
      </c>
      <c r="K114" s="269">
        <f t="shared" si="24"/>
        <v>414.5115771065411</v>
      </c>
      <c r="L114" s="269">
        <f t="shared" si="24"/>
        <v>8.2180922399999936</v>
      </c>
      <c r="M114" s="150"/>
      <c r="N114" s="145"/>
      <c r="O114" s="145"/>
      <c r="P114" s="145"/>
      <c r="Q114" s="145"/>
      <c r="R114" s="145"/>
      <c r="S114" s="145"/>
      <c r="T114" s="145"/>
      <c r="U114" s="145"/>
      <c r="V114" s="145"/>
      <c r="W114" s="145"/>
      <c r="X114" s="145"/>
      <c r="Y114" s="145"/>
      <c r="Z114" s="145"/>
    </row>
    <row r="115" spans="1:26" ht="15.75" x14ac:dyDescent="0.25">
      <c r="A115" s="270"/>
      <c r="B115" s="271"/>
      <c r="C115" s="145" t="s">
        <v>4</v>
      </c>
      <c r="D115" s="145"/>
      <c r="E115" s="272"/>
      <c r="F115" s="272"/>
      <c r="G115" s="272"/>
      <c r="H115" s="145"/>
      <c r="I115" s="145"/>
      <c r="J115" s="237"/>
      <c r="K115" s="273"/>
      <c r="L115" s="273"/>
      <c r="M115" s="274"/>
      <c r="N115" s="145"/>
      <c r="O115" s="145"/>
      <c r="P115" s="145"/>
      <c r="Q115" s="145"/>
      <c r="R115" s="145"/>
      <c r="S115" s="145"/>
      <c r="T115" s="145"/>
      <c r="U115" s="145"/>
      <c r="V115" s="145"/>
      <c r="W115" s="145"/>
      <c r="X115" s="145"/>
      <c r="Y115" s="145"/>
      <c r="Z115" s="145"/>
    </row>
    <row r="116" spans="1:26" ht="15.75" x14ac:dyDescent="0.25">
      <c r="A116" s="394" t="s">
        <v>221</v>
      </c>
      <c r="B116" s="395"/>
      <c r="C116" s="396"/>
      <c r="D116" s="275">
        <f>G114</f>
        <v>2935.1116079999997</v>
      </c>
      <c r="E116" s="145" t="s">
        <v>10</v>
      </c>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5.75" x14ac:dyDescent="0.25">
      <c r="A117" s="394" t="s">
        <v>222</v>
      </c>
      <c r="B117" s="395"/>
      <c r="C117" s="396"/>
      <c r="D117" s="276">
        <f>I114/G114</f>
        <v>0.13999624780196762</v>
      </c>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5.75" x14ac:dyDescent="0.25">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5.75" x14ac:dyDescent="0.25">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5.75" x14ac:dyDescent="0.25">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5.75" x14ac:dyDescent="0.25">
      <c r="A121" s="157" t="s">
        <v>223</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5.75" x14ac:dyDescent="0.25">
      <c r="A122" s="157" t="s">
        <v>224</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5.75" x14ac:dyDescent="0.25">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5.75" x14ac:dyDescent="0.25">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5.75" x14ac:dyDescent="0.25">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5.75" x14ac:dyDescent="0.25">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5.75" x14ac:dyDescent="0.25">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5.75" x14ac:dyDescent="0.25">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5.75" x14ac:dyDescent="0.25">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5.75" x14ac:dyDescent="0.25">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5.75" x14ac:dyDescent="0.25">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5.75" x14ac:dyDescent="0.25">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5.75" x14ac:dyDescent="0.25">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5.75" x14ac:dyDescent="0.25">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5.75" x14ac:dyDescent="0.25">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5.75" x14ac:dyDescent="0.25">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5.75" x14ac:dyDescent="0.25">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5.75" x14ac:dyDescent="0.25">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5.75" x14ac:dyDescent="0.25">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5.75" x14ac:dyDescent="0.25">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5.75" x14ac:dyDescent="0.25">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5.75" x14ac:dyDescent="0.25">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5.75" x14ac:dyDescent="0.25">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5.75" x14ac:dyDescent="0.25">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5.75" x14ac:dyDescent="0.25">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5.75" x14ac:dyDescent="0.25">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5.75" x14ac:dyDescent="0.25">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5.75" x14ac:dyDescent="0.25">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5.75" x14ac:dyDescent="0.25">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5.75" x14ac:dyDescent="0.25">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5.75" x14ac:dyDescent="0.25">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5.75" x14ac:dyDescent="0.25">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5.75" x14ac:dyDescent="0.25">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5.75" x14ac:dyDescent="0.25">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5.75" x14ac:dyDescent="0.25">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5.75" x14ac:dyDescent="0.25">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5.75" x14ac:dyDescent="0.25">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5.75" x14ac:dyDescent="0.25">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5.75" x14ac:dyDescent="0.25">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5.75" x14ac:dyDescent="0.25">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5.75" x14ac:dyDescent="0.25">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5.75" x14ac:dyDescent="0.25">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5.75" x14ac:dyDescent="0.25">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5.75" x14ac:dyDescent="0.25">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5.75" x14ac:dyDescent="0.25">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5.75" x14ac:dyDescent="0.25">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5.75" x14ac:dyDescent="0.25">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5.75" x14ac:dyDescent="0.25">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5.75" x14ac:dyDescent="0.25">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5.75" x14ac:dyDescent="0.25">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5.75" x14ac:dyDescent="0.25">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5.75" x14ac:dyDescent="0.25">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5.75" x14ac:dyDescent="0.25">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5.75" x14ac:dyDescent="0.25">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5.75" x14ac:dyDescent="0.25">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5.75" x14ac:dyDescent="0.25">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5.75" x14ac:dyDescent="0.25">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5.75" x14ac:dyDescent="0.25">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5.75" x14ac:dyDescent="0.25">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5.75" x14ac:dyDescent="0.25">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5.75" x14ac:dyDescent="0.25">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5.75" x14ac:dyDescent="0.25">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5.75" x14ac:dyDescent="0.25">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5.75" x14ac:dyDescent="0.25">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5.75" x14ac:dyDescent="0.25">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5.75" x14ac:dyDescent="0.25">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5.75" x14ac:dyDescent="0.25">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5.75" x14ac:dyDescent="0.25">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5.75" x14ac:dyDescent="0.25">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5.75" x14ac:dyDescent="0.25">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5.75" x14ac:dyDescent="0.25">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5.75" x14ac:dyDescent="0.25">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5.75" x14ac:dyDescent="0.25">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5.75" x14ac:dyDescent="0.25">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5.75" x14ac:dyDescent="0.25">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5.75" x14ac:dyDescent="0.25">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5.75" x14ac:dyDescent="0.25">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5.75" x14ac:dyDescent="0.25">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5.75" x14ac:dyDescent="0.25">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5.75" x14ac:dyDescent="0.25">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5.75" x14ac:dyDescent="0.25">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5.75" x14ac:dyDescent="0.25">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5.75" x14ac:dyDescent="0.25">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5.75" x14ac:dyDescent="0.25">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5.75" x14ac:dyDescent="0.25">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5.75" x14ac:dyDescent="0.25">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5.75" x14ac:dyDescent="0.25">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5.75" x14ac:dyDescent="0.25">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5.75" x14ac:dyDescent="0.25">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5.75" x14ac:dyDescent="0.25">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5.75" x14ac:dyDescent="0.25">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5.75" x14ac:dyDescent="0.25">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5.75" x14ac:dyDescent="0.25">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5.75" x14ac:dyDescent="0.25">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5.75" x14ac:dyDescent="0.25">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5.75" x14ac:dyDescent="0.25">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5.75" x14ac:dyDescent="0.25">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5.75" x14ac:dyDescent="0.25">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5.75" x14ac:dyDescent="0.25">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5.75" x14ac:dyDescent="0.25">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5.75" x14ac:dyDescent="0.25">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5.75" x14ac:dyDescent="0.25">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5.75" x14ac:dyDescent="0.25">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5.75" x14ac:dyDescent="0.25">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5.75" x14ac:dyDescent="0.25">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5.75" x14ac:dyDescent="0.25">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5.75" x14ac:dyDescent="0.25">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5.75" x14ac:dyDescent="0.25">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5.75" x14ac:dyDescent="0.25">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5.75" x14ac:dyDescent="0.25">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5.75" x14ac:dyDescent="0.25">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5.75" x14ac:dyDescent="0.25">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5.75" x14ac:dyDescent="0.25">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5.75" x14ac:dyDescent="0.25">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5.75" x14ac:dyDescent="0.25">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5.75" x14ac:dyDescent="0.25">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5.75" x14ac:dyDescent="0.25">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5.75" x14ac:dyDescent="0.25">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5.75" x14ac:dyDescent="0.25">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5.75" x14ac:dyDescent="0.25">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5.75" x14ac:dyDescent="0.25">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5.75" x14ac:dyDescent="0.25">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5.75" x14ac:dyDescent="0.25">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5.75" x14ac:dyDescent="0.25">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5.75" x14ac:dyDescent="0.25">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5.75" x14ac:dyDescent="0.25">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5.75" x14ac:dyDescent="0.25">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5.75" x14ac:dyDescent="0.25">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5.75" x14ac:dyDescent="0.25">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5.75" x14ac:dyDescent="0.25">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5.75" x14ac:dyDescent="0.25">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5.75" x14ac:dyDescent="0.25">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5.75" x14ac:dyDescent="0.25">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5.75" x14ac:dyDescent="0.25">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5.75" x14ac:dyDescent="0.25">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5.75" x14ac:dyDescent="0.25">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5.75" x14ac:dyDescent="0.25">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5.75" x14ac:dyDescent="0.25">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5.75" x14ac:dyDescent="0.25">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5.75" x14ac:dyDescent="0.25">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5.75" x14ac:dyDescent="0.25">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5.75" x14ac:dyDescent="0.25">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5.75" x14ac:dyDescent="0.25">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5.75" x14ac:dyDescent="0.25">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5.75" x14ac:dyDescent="0.25">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5.75" x14ac:dyDescent="0.25">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5.75" x14ac:dyDescent="0.25">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5.75" x14ac:dyDescent="0.25">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5.75" x14ac:dyDescent="0.25">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5.75" x14ac:dyDescent="0.25">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5.75" x14ac:dyDescent="0.25">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5.75" x14ac:dyDescent="0.25">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5.75" x14ac:dyDescent="0.25">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5.75" x14ac:dyDescent="0.25">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5.75" x14ac:dyDescent="0.25">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5.75" x14ac:dyDescent="0.25">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5.75" x14ac:dyDescent="0.25">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5.75" x14ac:dyDescent="0.25">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5.75" x14ac:dyDescent="0.25">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5.75" x14ac:dyDescent="0.25">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5.75" x14ac:dyDescent="0.25">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5.75" x14ac:dyDescent="0.25">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5.75" x14ac:dyDescent="0.25">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5.75" x14ac:dyDescent="0.25">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5.75" x14ac:dyDescent="0.25">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5.75" x14ac:dyDescent="0.25">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5.75" x14ac:dyDescent="0.25">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5.75" x14ac:dyDescent="0.25">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5.75" x14ac:dyDescent="0.25">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5.75" x14ac:dyDescent="0.25">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5.75" x14ac:dyDescent="0.25">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5.75" x14ac:dyDescent="0.25">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5.75" x14ac:dyDescent="0.25">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5.75" x14ac:dyDescent="0.25">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5.75" x14ac:dyDescent="0.25">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5.75" x14ac:dyDescent="0.25">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5.75" x14ac:dyDescent="0.25">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5.75" x14ac:dyDescent="0.25">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5.75" x14ac:dyDescent="0.25">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5.75" x14ac:dyDescent="0.25">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5.75" x14ac:dyDescent="0.25">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5.75" x14ac:dyDescent="0.25">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5.75" x14ac:dyDescent="0.25">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5.75" x14ac:dyDescent="0.25">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5.75" x14ac:dyDescent="0.25">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5.75" x14ac:dyDescent="0.25">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5.75" x14ac:dyDescent="0.25">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5.75" x14ac:dyDescent="0.25">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5.75" x14ac:dyDescent="0.25">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5.75" x14ac:dyDescent="0.25">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5.75" x14ac:dyDescent="0.25">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5.75" x14ac:dyDescent="0.25">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5.75" x14ac:dyDescent="0.25">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5.75" x14ac:dyDescent="0.25">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5.75" x14ac:dyDescent="0.25">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5.75" x14ac:dyDescent="0.25">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5.75" x14ac:dyDescent="0.25">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5.75" x14ac:dyDescent="0.25">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5.75" x14ac:dyDescent="0.25">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5.75" x14ac:dyDescent="0.25">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5.75" x14ac:dyDescent="0.25">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5.75" x14ac:dyDescent="0.25">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5.75" x14ac:dyDescent="0.25">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5.75" x14ac:dyDescent="0.25">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5.75" x14ac:dyDescent="0.25">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5.75" x14ac:dyDescent="0.25">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5.75" x14ac:dyDescent="0.25">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5.75" x14ac:dyDescent="0.25">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5.75" x14ac:dyDescent="0.25">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5.75" x14ac:dyDescent="0.25">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5.75" x14ac:dyDescent="0.25">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5.75" x14ac:dyDescent="0.25">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5.75" x14ac:dyDescent="0.25">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5.75" x14ac:dyDescent="0.25">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5.75" x14ac:dyDescent="0.25">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5.75" x14ac:dyDescent="0.25">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5.75" x14ac:dyDescent="0.25">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5.75" x14ac:dyDescent="0.25">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5.75" x14ac:dyDescent="0.25">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5.75" x14ac:dyDescent="0.25">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5.75" x14ac:dyDescent="0.25">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5.75" x14ac:dyDescent="0.25">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5.75" x14ac:dyDescent="0.25">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5.75" x14ac:dyDescent="0.25">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5.75" x14ac:dyDescent="0.25">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5.75" x14ac:dyDescent="0.25">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5.75" x14ac:dyDescent="0.25">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5.75" x14ac:dyDescent="0.25">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5.75" x14ac:dyDescent="0.25">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5.75" x14ac:dyDescent="0.25">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5.75" x14ac:dyDescent="0.25">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5.75" x14ac:dyDescent="0.25">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5.75" x14ac:dyDescent="0.25">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5.75" x14ac:dyDescent="0.25">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5.75" x14ac:dyDescent="0.25">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5.75" x14ac:dyDescent="0.25">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5.75" x14ac:dyDescent="0.25">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5.75" x14ac:dyDescent="0.25">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5.75" x14ac:dyDescent="0.25">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5.75" x14ac:dyDescent="0.25">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5.75" x14ac:dyDescent="0.25">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5.75" x14ac:dyDescent="0.25">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5.75" x14ac:dyDescent="0.25">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5.75" x14ac:dyDescent="0.25">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5.75" x14ac:dyDescent="0.25">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5.75" x14ac:dyDescent="0.25">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5.75" x14ac:dyDescent="0.25">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5.75" x14ac:dyDescent="0.25">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5.75" x14ac:dyDescent="0.25">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5.75" x14ac:dyDescent="0.25">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5.75" x14ac:dyDescent="0.25">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5.75" x14ac:dyDescent="0.25">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5.75" x14ac:dyDescent="0.25">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5.75" x14ac:dyDescent="0.25">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5.75" x14ac:dyDescent="0.25">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5.75" x14ac:dyDescent="0.25">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5.75" x14ac:dyDescent="0.25">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5.75" x14ac:dyDescent="0.25">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5.75" x14ac:dyDescent="0.25">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5.75" x14ac:dyDescent="0.25">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5.75" x14ac:dyDescent="0.25">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5.75" x14ac:dyDescent="0.25">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5.75" x14ac:dyDescent="0.25">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5.75" x14ac:dyDescent="0.25">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5.75" x14ac:dyDescent="0.25">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5.75" x14ac:dyDescent="0.25">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5.75" x14ac:dyDescent="0.25">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5.75" x14ac:dyDescent="0.25">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5.75" x14ac:dyDescent="0.25">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5.75" x14ac:dyDescent="0.25">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5.75" x14ac:dyDescent="0.25">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5.75" x14ac:dyDescent="0.25">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5.75" x14ac:dyDescent="0.25">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5.75" x14ac:dyDescent="0.25">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5.75" x14ac:dyDescent="0.25">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5.75" x14ac:dyDescent="0.25">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5.75" x14ac:dyDescent="0.25">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5.75" x14ac:dyDescent="0.25">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5.75" x14ac:dyDescent="0.25">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5.75" x14ac:dyDescent="0.25">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5.75" x14ac:dyDescent="0.25">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5.75" x14ac:dyDescent="0.25">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5.75" x14ac:dyDescent="0.25">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5.75" x14ac:dyDescent="0.25">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5.75" x14ac:dyDescent="0.25">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5.75" x14ac:dyDescent="0.25">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5.75" x14ac:dyDescent="0.25">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5.75" x14ac:dyDescent="0.25">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5.75" x14ac:dyDescent="0.25">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5.75" x14ac:dyDescent="0.25">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5.75" x14ac:dyDescent="0.25">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5.75" x14ac:dyDescent="0.25">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5.75" x14ac:dyDescent="0.25">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5.75" x14ac:dyDescent="0.25">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5.75" x14ac:dyDescent="0.25">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5.75" x14ac:dyDescent="0.25">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5.75" x14ac:dyDescent="0.25">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5.75" x14ac:dyDescent="0.25">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5.75" x14ac:dyDescent="0.25">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5.75" x14ac:dyDescent="0.25">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5.75" x14ac:dyDescent="0.25">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5.75" x14ac:dyDescent="0.25">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5.75" x14ac:dyDescent="0.25">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5.75" x14ac:dyDescent="0.25">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5.75" x14ac:dyDescent="0.25">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5.75" x14ac:dyDescent="0.25">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5.75" x14ac:dyDescent="0.25">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5.75" x14ac:dyDescent="0.25">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5.75" x14ac:dyDescent="0.25">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5.75" x14ac:dyDescent="0.25">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5.75" x14ac:dyDescent="0.25">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5.75" x14ac:dyDescent="0.25">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5.75" x14ac:dyDescent="0.25">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5.75" x14ac:dyDescent="0.25">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5.75" x14ac:dyDescent="0.25">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5.75" x14ac:dyDescent="0.25">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5.75" x14ac:dyDescent="0.25">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5.75" x14ac:dyDescent="0.25">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5.75" x14ac:dyDescent="0.25">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5.75" x14ac:dyDescent="0.25">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5.75" x14ac:dyDescent="0.25">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5.75" x14ac:dyDescent="0.25">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5.75" x14ac:dyDescent="0.25">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5.75" x14ac:dyDescent="0.25">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5.75" x14ac:dyDescent="0.25">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5.75" x14ac:dyDescent="0.25">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5.75" x14ac:dyDescent="0.25">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5.75" x14ac:dyDescent="0.25">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5.75" x14ac:dyDescent="0.25">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5.75" x14ac:dyDescent="0.25">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5.75" x14ac:dyDescent="0.25">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5.75" x14ac:dyDescent="0.25">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5.75" x14ac:dyDescent="0.25">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5.75" x14ac:dyDescent="0.25">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5.75" x14ac:dyDescent="0.25">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5.75" x14ac:dyDescent="0.25">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5.75" x14ac:dyDescent="0.25">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5.75" x14ac:dyDescent="0.25">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5.75" x14ac:dyDescent="0.25">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5.75" x14ac:dyDescent="0.25">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5.75" x14ac:dyDescent="0.25">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5.75" x14ac:dyDescent="0.25">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5.75" x14ac:dyDescent="0.25">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5.75" x14ac:dyDescent="0.25">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5.75" x14ac:dyDescent="0.25">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5.75" x14ac:dyDescent="0.25">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5.75" x14ac:dyDescent="0.25">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5.75" x14ac:dyDescent="0.25">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5.75" x14ac:dyDescent="0.25">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5.75" x14ac:dyDescent="0.25">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5.75" x14ac:dyDescent="0.25">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5.75" x14ac:dyDescent="0.25">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5.75" x14ac:dyDescent="0.25">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5.75" x14ac:dyDescent="0.25">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5.75" x14ac:dyDescent="0.25">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5.75" x14ac:dyDescent="0.25">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5.75" x14ac:dyDescent="0.25">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5.75" x14ac:dyDescent="0.25">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5.75" x14ac:dyDescent="0.25">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5.75" x14ac:dyDescent="0.25">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5.75" x14ac:dyDescent="0.25">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5.75" x14ac:dyDescent="0.25">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5.75" x14ac:dyDescent="0.25">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5.75" x14ac:dyDescent="0.25">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5.75" x14ac:dyDescent="0.25">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5.75" x14ac:dyDescent="0.25">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5.75" x14ac:dyDescent="0.25">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5.75" x14ac:dyDescent="0.25">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5.75" x14ac:dyDescent="0.25">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5.75" x14ac:dyDescent="0.25">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5.75" x14ac:dyDescent="0.25">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5.75" x14ac:dyDescent="0.25">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5.75" x14ac:dyDescent="0.25">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5.75" x14ac:dyDescent="0.25">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5.75" x14ac:dyDescent="0.25">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5.75" x14ac:dyDescent="0.25">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5.75" x14ac:dyDescent="0.25">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5.75" x14ac:dyDescent="0.25">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5.75" x14ac:dyDescent="0.25">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5.75" x14ac:dyDescent="0.25">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5.75" x14ac:dyDescent="0.25">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5.75" x14ac:dyDescent="0.25">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5.75" x14ac:dyDescent="0.25">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5.75" x14ac:dyDescent="0.25">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5.75" x14ac:dyDescent="0.25">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5.75" x14ac:dyDescent="0.25">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5.75" x14ac:dyDescent="0.25">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5.75" x14ac:dyDescent="0.25">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5.75" x14ac:dyDescent="0.25">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5.75" x14ac:dyDescent="0.25">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5.75" x14ac:dyDescent="0.25">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5.75" x14ac:dyDescent="0.25">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5.75" x14ac:dyDescent="0.25">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5.75" x14ac:dyDescent="0.25">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5.75" x14ac:dyDescent="0.25">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5.75" x14ac:dyDescent="0.25">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5.75" x14ac:dyDescent="0.25">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5.75" x14ac:dyDescent="0.25">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5.75" x14ac:dyDescent="0.25">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5.75" x14ac:dyDescent="0.25">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5.75" x14ac:dyDescent="0.25">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5.75" x14ac:dyDescent="0.25">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5.75" x14ac:dyDescent="0.25">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5.75" x14ac:dyDescent="0.25">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5.75" x14ac:dyDescent="0.25">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5.75" x14ac:dyDescent="0.25">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5.75" x14ac:dyDescent="0.25">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5.75" x14ac:dyDescent="0.25">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5.75" x14ac:dyDescent="0.25">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5.75" x14ac:dyDescent="0.25">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5.75" x14ac:dyDescent="0.25">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5.75" x14ac:dyDescent="0.25">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5.75" x14ac:dyDescent="0.25">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5.75" x14ac:dyDescent="0.25">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5.75" x14ac:dyDescent="0.25">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5.75" x14ac:dyDescent="0.25">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5.75" x14ac:dyDescent="0.25">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5.75" x14ac:dyDescent="0.25">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5.75" x14ac:dyDescent="0.25">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5.75" x14ac:dyDescent="0.25">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5.75" x14ac:dyDescent="0.25">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5.75" x14ac:dyDescent="0.25">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5.75" x14ac:dyDescent="0.25">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5.75" x14ac:dyDescent="0.25">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5.75" x14ac:dyDescent="0.25">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5.75" x14ac:dyDescent="0.25">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5.75" x14ac:dyDescent="0.25">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5.75" x14ac:dyDescent="0.25">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5.75" x14ac:dyDescent="0.25">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5.75" x14ac:dyDescent="0.25">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5.75" x14ac:dyDescent="0.25">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5.75" x14ac:dyDescent="0.25">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5.75" x14ac:dyDescent="0.25">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5.75" x14ac:dyDescent="0.25">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5.75" x14ac:dyDescent="0.25">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5.75" x14ac:dyDescent="0.25">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5.75" x14ac:dyDescent="0.25">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5.75" x14ac:dyDescent="0.25">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5.75" x14ac:dyDescent="0.25">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5.75" x14ac:dyDescent="0.25">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5.75" x14ac:dyDescent="0.25">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5.75" x14ac:dyDescent="0.25">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5.75" x14ac:dyDescent="0.25">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5.75" x14ac:dyDescent="0.25">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5.75" x14ac:dyDescent="0.25">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5.75" x14ac:dyDescent="0.25">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5.75" x14ac:dyDescent="0.25">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5.75" x14ac:dyDescent="0.25">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5.75" x14ac:dyDescent="0.25">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5.75" x14ac:dyDescent="0.25">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5.75" x14ac:dyDescent="0.25">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5.75" x14ac:dyDescent="0.25">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5.75" x14ac:dyDescent="0.25">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5.75" x14ac:dyDescent="0.25">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5.75" x14ac:dyDescent="0.25">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5.75" x14ac:dyDescent="0.25">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5.75" x14ac:dyDescent="0.25">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5.75" x14ac:dyDescent="0.25">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5.75" x14ac:dyDescent="0.25">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5.75" x14ac:dyDescent="0.25">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5.75" x14ac:dyDescent="0.25">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5.75" x14ac:dyDescent="0.25">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5.75" x14ac:dyDescent="0.25">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5.75" x14ac:dyDescent="0.25">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5.75" x14ac:dyDescent="0.25">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5.75" x14ac:dyDescent="0.25">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5.75" x14ac:dyDescent="0.25">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5.75" x14ac:dyDescent="0.25">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5.75" x14ac:dyDescent="0.25">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5.75" x14ac:dyDescent="0.25">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5.75" x14ac:dyDescent="0.25">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5.75" x14ac:dyDescent="0.25">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5.75" x14ac:dyDescent="0.25">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5.75" x14ac:dyDescent="0.25">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5.75" x14ac:dyDescent="0.25">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5.75" x14ac:dyDescent="0.25">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5.75" x14ac:dyDescent="0.25">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5.75" x14ac:dyDescent="0.25">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5.75" x14ac:dyDescent="0.25">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5.75" x14ac:dyDescent="0.25">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5.75" x14ac:dyDescent="0.25">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5.75" x14ac:dyDescent="0.25">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5.75" x14ac:dyDescent="0.25">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5.75" x14ac:dyDescent="0.25">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5.75" x14ac:dyDescent="0.25">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5.75" x14ac:dyDescent="0.25">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5.75" x14ac:dyDescent="0.25">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5.75" x14ac:dyDescent="0.25">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5.75" x14ac:dyDescent="0.25">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5.75" x14ac:dyDescent="0.25">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5.75" x14ac:dyDescent="0.25">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5.75" x14ac:dyDescent="0.25">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5.75" x14ac:dyDescent="0.25">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5.75" x14ac:dyDescent="0.25">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5.75" x14ac:dyDescent="0.25">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5.75" x14ac:dyDescent="0.25">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5.75" x14ac:dyDescent="0.25">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5.75" x14ac:dyDescent="0.25">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5.75" x14ac:dyDescent="0.25">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5.75" x14ac:dyDescent="0.25">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5.75" x14ac:dyDescent="0.25">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5.75" x14ac:dyDescent="0.25">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5.75" x14ac:dyDescent="0.25">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5.75" x14ac:dyDescent="0.25">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5.75" x14ac:dyDescent="0.25">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5.75" x14ac:dyDescent="0.25">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5.75" x14ac:dyDescent="0.25">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5.75" x14ac:dyDescent="0.25">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5.75" x14ac:dyDescent="0.25">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5.75" x14ac:dyDescent="0.25">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5.75" x14ac:dyDescent="0.25">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5.75" x14ac:dyDescent="0.25">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5.75" x14ac:dyDescent="0.25">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5.75" x14ac:dyDescent="0.25">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5.75" x14ac:dyDescent="0.25">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5.75" x14ac:dyDescent="0.25">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5.75" x14ac:dyDescent="0.25">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5.75" x14ac:dyDescent="0.25">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5.75" x14ac:dyDescent="0.25">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5.75" x14ac:dyDescent="0.25">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5.75" x14ac:dyDescent="0.25">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5.75" x14ac:dyDescent="0.25">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5.75" x14ac:dyDescent="0.25">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5.75" x14ac:dyDescent="0.25">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5.75" x14ac:dyDescent="0.25">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5.75" x14ac:dyDescent="0.25">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5.75" x14ac:dyDescent="0.25">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5.75" x14ac:dyDescent="0.25">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5.75" x14ac:dyDescent="0.25">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5.75" x14ac:dyDescent="0.25">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5.75" x14ac:dyDescent="0.25">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5.75" x14ac:dyDescent="0.25">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5.75" x14ac:dyDescent="0.25">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5.75" x14ac:dyDescent="0.25">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5.75" x14ac:dyDescent="0.25">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5.75" x14ac:dyDescent="0.25">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5.75" x14ac:dyDescent="0.25">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5.75" x14ac:dyDescent="0.25">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5.75" x14ac:dyDescent="0.25">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5.75" x14ac:dyDescent="0.25">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5.75" x14ac:dyDescent="0.25">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5.75" x14ac:dyDescent="0.25">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5.75" x14ac:dyDescent="0.25">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5.75" x14ac:dyDescent="0.25">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5.75" x14ac:dyDescent="0.25">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5.75" x14ac:dyDescent="0.25">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5.75" x14ac:dyDescent="0.25">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5.75" x14ac:dyDescent="0.25">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5.75" x14ac:dyDescent="0.25">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5.75" x14ac:dyDescent="0.25">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5.75" x14ac:dyDescent="0.25">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5.75" x14ac:dyDescent="0.25">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5.75" x14ac:dyDescent="0.25">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5.75" x14ac:dyDescent="0.25">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5.75" x14ac:dyDescent="0.25">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5.75" x14ac:dyDescent="0.25">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5.75" x14ac:dyDescent="0.25">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5.75" x14ac:dyDescent="0.25">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5.75" x14ac:dyDescent="0.25">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5.75" x14ac:dyDescent="0.25">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5.75" x14ac:dyDescent="0.25">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5.75" x14ac:dyDescent="0.25">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5.75" x14ac:dyDescent="0.25">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5.75" x14ac:dyDescent="0.25">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5.75" x14ac:dyDescent="0.25">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5.75" x14ac:dyDescent="0.25">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5.75" x14ac:dyDescent="0.25">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5.75" x14ac:dyDescent="0.25">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5.75" x14ac:dyDescent="0.25">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5.75" x14ac:dyDescent="0.25">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5.75" x14ac:dyDescent="0.25">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5.75" x14ac:dyDescent="0.25">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5.75" x14ac:dyDescent="0.25">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5.75" x14ac:dyDescent="0.25">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5.75" x14ac:dyDescent="0.25">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5.75" x14ac:dyDescent="0.25">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5.75" x14ac:dyDescent="0.25">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5.75" x14ac:dyDescent="0.25">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5.75" x14ac:dyDescent="0.25">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5.75" x14ac:dyDescent="0.25">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5.75" x14ac:dyDescent="0.25">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5.75" x14ac:dyDescent="0.25">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5.75" x14ac:dyDescent="0.25">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5.75" x14ac:dyDescent="0.25">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5.75" x14ac:dyDescent="0.25">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5.75" x14ac:dyDescent="0.25">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5.75" x14ac:dyDescent="0.25">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5.75" x14ac:dyDescent="0.25">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5.75" x14ac:dyDescent="0.25">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5.75" x14ac:dyDescent="0.25">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5.75" x14ac:dyDescent="0.25">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5.75" x14ac:dyDescent="0.25">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5.75" x14ac:dyDescent="0.25">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5.75" x14ac:dyDescent="0.25">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5.75" x14ac:dyDescent="0.25">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5.75" x14ac:dyDescent="0.25">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5.75" x14ac:dyDescent="0.25">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5.75" x14ac:dyDescent="0.25">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5.75" x14ac:dyDescent="0.25">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5.75" x14ac:dyDescent="0.25">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5.75" x14ac:dyDescent="0.25">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5.75" x14ac:dyDescent="0.25">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5.75" x14ac:dyDescent="0.25">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5.75" x14ac:dyDescent="0.25">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5.75" x14ac:dyDescent="0.25">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5.75" x14ac:dyDescent="0.25">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5.75" x14ac:dyDescent="0.25">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5.75" x14ac:dyDescent="0.25">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5.75" x14ac:dyDescent="0.25">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5.75" x14ac:dyDescent="0.25">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5.75" x14ac:dyDescent="0.25">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5.75" x14ac:dyDescent="0.25">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5.75" x14ac:dyDescent="0.25">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5.75" x14ac:dyDescent="0.25">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5.75" x14ac:dyDescent="0.25">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5.75" x14ac:dyDescent="0.25">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5.75" x14ac:dyDescent="0.25">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5.75" x14ac:dyDescent="0.25">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5.75" x14ac:dyDescent="0.25">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5.75" x14ac:dyDescent="0.25">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5.75" x14ac:dyDescent="0.25">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5.75" x14ac:dyDescent="0.25">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5.75" x14ac:dyDescent="0.25">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5.75" x14ac:dyDescent="0.25">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5.75" x14ac:dyDescent="0.25">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5.75" x14ac:dyDescent="0.25">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5.75" x14ac:dyDescent="0.25">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5.75" x14ac:dyDescent="0.25">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5.75" x14ac:dyDescent="0.25">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5.75" x14ac:dyDescent="0.25">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5.75" x14ac:dyDescent="0.25">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5.75" x14ac:dyDescent="0.25">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5.75" x14ac:dyDescent="0.25">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5.75" x14ac:dyDescent="0.25">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5.75" x14ac:dyDescent="0.25">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5.75" x14ac:dyDescent="0.25">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5.75" x14ac:dyDescent="0.25">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5.75" x14ac:dyDescent="0.25">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5.75" x14ac:dyDescent="0.25">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5.75" x14ac:dyDescent="0.25">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5.75" x14ac:dyDescent="0.25">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5.75" x14ac:dyDescent="0.25">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5.75" x14ac:dyDescent="0.25">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5.75" x14ac:dyDescent="0.25">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5.75" x14ac:dyDescent="0.25">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5.75" x14ac:dyDescent="0.25">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5.75" x14ac:dyDescent="0.25">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5.75" x14ac:dyDescent="0.25">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5.75" x14ac:dyDescent="0.25">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5.75" x14ac:dyDescent="0.25">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5.75" x14ac:dyDescent="0.25">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5.75" x14ac:dyDescent="0.25">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5.75" x14ac:dyDescent="0.25">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5.75" x14ac:dyDescent="0.25">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5.75" x14ac:dyDescent="0.25">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5.75" x14ac:dyDescent="0.25">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5.75" x14ac:dyDescent="0.25">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5.75" x14ac:dyDescent="0.25">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5.75" x14ac:dyDescent="0.25">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5.75" x14ac:dyDescent="0.25">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5.75" x14ac:dyDescent="0.25">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5.75" x14ac:dyDescent="0.25">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5.75" x14ac:dyDescent="0.25">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5.75" x14ac:dyDescent="0.25">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5.75" x14ac:dyDescent="0.25">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5.75" x14ac:dyDescent="0.25">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5.75" x14ac:dyDescent="0.25">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5.75" x14ac:dyDescent="0.25">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5.75" x14ac:dyDescent="0.25">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5.75" x14ac:dyDescent="0.25">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5.75" x14ac:dyDescent="0.25">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5.75" x14ac:dyDescent="0.25">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5.75" x14ac:dyDescent="0.25">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5.75" x14ac:dyDescent="0.25">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5.75" x14ac:dyDescent="0.25">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5.75" x14ac:dyDescent="0.25">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5.75" x14ac:dyDescent="0.25">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5.75" x14ac:dyDescent="0.25">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5.75" x14ac:dyDescent="0.25">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5.75" x14ac:dyDescent="0.25">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5.75" x14ac:dyDescent="0.25">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5.75" x14ac:dyDescent="0.25">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5.75" x14ac:dyDescent="0.25">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5.75" x14ac:dyDescent="0.25">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5.75" x14ac:dyDescent="0.25">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5.75" x14ac:dyDescent="0.25">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5.75" x14ac:dyDescent="0.25">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5.75" x14ac:dyDescent="0.25">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5.75" x14ac:dyDescent="0.25">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5.75" x14ac:dyDescent="0.25">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5.75" x14ac:dyDescent="0.25">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5.75" x14ac:dyDescent="0.25">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5.75" x14ac:dyDescent="0.25">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5.75" x14ac:dyDescent="0.25">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5.75" x14ac:dyDescent="0.25">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5.75" x14ac:dyDescent="0.25">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5.75" x14ac:dyDescent="0.25">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5.75" x14ac:dyDescent="0.25">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5.75" x14ac:dyDescent="0.25">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5.75" x14ac:dyDescent="0.25">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5.75" x14ac:dyDescent="0.25">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5.75" x14ac:dyDescent="0.25">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5.75" x14ac:dyDescent="0.25">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5.75" x14ac:dyDescent="0.25">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5.75" x14ac:dyDescent="0.25">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5.75" x14ac:dyDescent="0.25">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5.75" x14ac:dyDescent="0.25">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5.75" x14ac:dyDescent="0.25">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5.75" x14ac:dyDescent="0.25">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5.75" x14ac:dyDescent="0.25">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5.75" x14ac:dyDescent="0.25">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5.75" x14ac:dyDescent="0.25">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5.75" x14ac:dyDescent="0.25">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5.75" x14ac:dyDescent="0.25">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5.75" x14ac:dyDescent="0.25">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5.75" x14ac:dyDescent="0.25">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5.75" x14ac:dyDescent="0.25">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5.75" x14ac:dyDescent="0.25">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5.75" x14ac:dyDescent="0.25">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5.75" x14ac:dyDescent="0.25">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5.75" x14ac:dyDescent="0.25">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5.75" x14ac:dyDescent="0.25">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5.75" x14ac:dyDescent="0.25">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5.75" x14ac:dyDescent="0.25">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5.75" x14ac:dyDescent="0.25">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5.75" x14ac:dyDescent="0.25">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5.75" x14ac:dyDescent="0.25">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5.75" x14ac:dyDescent="0.25">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5.75" x14ac:dyDescent="0.25">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5.75" x14ac:dyDescent="0.25">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5.75" x14ac:dyDescent="0.25">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5.75" x14ac:dyDescent="0.25">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5.75" x14ac:dyDescent="0.25">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5.75" x14ac:dyDescent="0.25">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5.75" x14ac:dyDescent="0.25">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5.75" x14ac:dyDescent="0.25">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5.75" x14ac:dyDescent="0.25">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5.75" x14ac:dyDescent="0.25">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5.75" x14ac:dyDescent="0.25">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5.75" x14ac:dyDescent="0.25">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5.75" x14ac:dyDescent="0.25">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5.75" x14ac:dyDescent="0.25">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5.75" x14ac:dyDescent="0.25">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5.75" x14ac:dyDescent="0.25">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5.75" x14ac:dyDescent="0.25">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5.75" x14ac:dyDescent="0.25">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5.75" x14ac:dyDescent="0.25">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5.75" x14ac:dyDescent="0.25">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5.75" x14ac:dyDescent="0.25">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5.75" x14ac:dyDescent="0.25">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5.75" x14ac:dyDescent="0.25">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5.75" x14ac:dyDescent="0.25">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5.75" x14ac:dyDescent="0.25">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5.75" x14ac:dyDescent="0.25">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5.75" x14ac:dyDescent="0.25">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5.75" x14ac:dyDescent="0.25">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5.75" x14ac:dyDescent="0.25">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5.75" x14ac:dyDescent="0.25">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5.75" x14ac:dyDescent="0.25">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5.75" x14ac:dyDescent="0.25">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5.75" x14ac:dyDescent="0.25">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5.75" x14ac:dyDescent="0.25">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5.75" x14ac:dyDescent="0.25">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5.75" x14ac:dyDescent="0.25">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5.75" x14ac:dyDescent="0.25">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5.75" x14ac:dyDescent="0.25">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5.75" x14ac:dyDescent="0.25">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5.75" x14ac:dyDescent="0.25">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5.75" x14ac:dyDescent="0.25">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5.75" x14ac:dyDescent="0.25">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5.75" x14ac:dyDescent="0.25">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5.75" x14ac:dyDescent="0.25">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5.75" x14ac:dyDescent="0.25">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5.75" x14ac:dyDescent="0.25">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5.75" x14ac:dyDescent="0.25">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5.75" x14ac:dyDescent="0.25">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5.75" x14ac:dyDescent="0.25">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5.75" x14ac:dyDescent="0.25">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5.75" x14ac:dyDescent="0.25">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5.75" x14ac:dyDescent="0.25">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5.75" x14ac:dyDescent="0.25">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5.75" x14ac:dyDescent="0.25">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5.75" x14ac:dyDescent="0.25">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5.75" x14ac:dyDescent="0.25">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5.75" x14ac:dyDescent="0.25">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5.75" x14ac:dyDescent="0.25">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5.75" x14ac:dyDescent="0.25">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5.75" x14ac:dyDescent="0.25">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5.75" x14ac:dyDescent="0.25">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5.75" x14ac:dyDescent="0.25">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5.75" x14ac:dyDescent="0.25">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5.75" x14ac:dyDescent="0.25">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5.75" x14ac:dyDescent="0.25">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5.75" x14ac:dyDescent="0.25">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5.75" x14ac:dyDescent="0.25">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5.75" x14ac:dyDescent="0.25">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5.75" x14ac:dyDescent="0.25">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5.75" x14ac:dyDescent="0.25">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5.75" x14ac:dyDescent="0.25">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5.75" x14ac:dyDescent="0.25">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5.75" x14ac:dyDescent="0.25">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5.75" x14ac:dyDescent="0.25">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5.75" x14ac:dyDescent="0.25">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5.75" x14ac:dyDescent="0.25">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5.75" x14ac:dyDescent="0.25">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5.75" x14ac:dyDescent="0.25">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5.75" x14ac:dyDescent="0.25">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5.75" x14ac:dyDescent="0.25">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5.75" x14ac:dyDescent="0.25">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5.75" x14ac:dyDescent="0.25">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5.75" x14ac:dyDescent="0.25">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5.75" x14ac:dyDescent="0.25">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5.75" x14ac:dyDescent="0.25">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5.75" x14ac:dyDescent="0.25">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5.75" x14ac:dyDescent="0.25">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5.75" x14ac:dyDescent="0.25">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5.75" x14ac:dyDescent="0.25">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5.75" x14ac:dyDescent="0.25">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5.75" x14ac:dyDescent="0.25">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5.75" x14ac:dyDescent="0.25">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5.75" x14ac:dyDescent="0.25">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5.75" x14ac:dyDescent="0.25">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5.75" x14ac:dyDescent="0.25">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5.75" x14ac:dyDescent="0.25">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5.75" x14ac:dyDescent="0.25">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5.75" x14ac:dyDescent="0.25">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5.75" x14ac:dyDescent="0.25">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5.75" x14ac:dyDescent="0.25">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5.75" x14ac:dyDescent="0.25">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5.75" x14ac:dyDescent="0.25">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5.75" x14ac:dyDescent="0.25">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5.75" x14ac:dyDescent="0.25">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5.75" x14ac:dyDescent="0.25">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5.75" x14ac:dyDescent="0.25">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5.75" x14ac:dyDescent="0.25">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5.75" x14ac:dyDescent="0.25">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5.75" x14ac:dyDescent="0.25">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5.75" x14ac:dyDescent="0.25">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5.75" x14ac:dyDescent="0.25">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5.75" x14ac:dyDescent="0.25">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5.75" x14ac:dyDescent="0.25">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5.75" x14ac:dyDescent="0.25">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5.75" x14ac:dyDescent="0.25">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5.75" x14ac:dyDescent="0.25">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5.75" x14ac:dyDescent="0.25">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5.75" x14ac:dyDescent="0.25">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5.75" x14ac:dyDescent="0.25">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5.75" x14ac:dyDescent="0.25">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5.75" x14ac:dyDescent="0.25">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5.75" x14ac:dyDescent="0.25">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5.75" x14ac:dyDescent="0.25">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5.75" x14ac:dyDescent="0.25">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5.75" x14ac:dyDescent="0.25">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5.75" x14ac:dyDescent="0.25">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5.75" x14ac:dyDescent="0.25">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5.75" x14ac:dyDescent="0.25">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5.75" x14ac:dyDescent="0.25">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5.75" x14ac:dyDescent="0.25">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5.75" x14ac:dyDescent="0.25">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5.75" x14ac:dyDescent="0.25">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5.75" x14ac:dyDescent="0.25">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5.75" x14ac:dyDescent="0.25">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5.75" x14ac:dyDescent="0.25">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5.75" x14ac:dyDescent="0.25">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5.75" x14ac:dyDescent="0.25">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5.75" x14ac:dyDescent="0.25">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5.75" x14ac:dyDescent="0.25">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5.75" x14ac:dyDescent="0.25">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5.75" x14ac:dyDescent="0.25">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5.75" x14ac:dyDescent="0.25">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5.75" x14ac:dyDescent="0.25">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5.75" x14ac:dyDescent="0.25">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5.75" x14ac:dyDescent="0.25">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5.75" x14ac:dyDescent="0.25">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5.75" x14ac:dyDescent="0.25">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5.75" x14ac:dyDescent="0.25">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5.75" x14ac:dyDescent="0.25">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5.75" x14ac:dyDescent="0.25">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5.75" x14ac:dyDescent="0.25">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5.75" x14ac:dyDescent="0.25">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row r="1001" spans="1:26" ht="15.75" x14ac:dyDescent="0.25">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row>
    <row r="1002" spans="1:26" ht="15.75" x14ac:dyDescent="0.25">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row>
    <row r="1003" spans="1:26" ht="15.75" x14ac:dyDescent="0.25">
      <c r="A1003" s="145"/>
      <c r="B1003" s="145"/>
      <c r="C1003" s="145"/>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row>
    <row r="1004" spans="1:26" ht="15.75" x14ac:dyDescent="0.25">
      <c r="A1004" s="145"/>
      <c r="B1004" s="145"/>
      <c r="C1004" s="145"/>
      <c r="D1004" s="145"/>
      <c r="E1004" s="145"/>
      <c r="F1004" s="145"/>
      <c r="G1004" s="145"/>
      <c r="H1004" s="145"/>
      <c r="I1004" s="145"/>
      <c r="J1004" s="145"/>
      <c r="K1004" s="145"/>
      <c r="L1004" s="145"/>
      <c r="M1004" s="145"/>
      <c r="N1004" s="145"/>
      <c r="O1004" s="145"/>
      <c r="P1004" s="145"/>
      <c r="Q1004" s="145"/>
      <c r="R1004" s="145"/>
      <c r="S1004" s="145"/>
      <c r="T1004" s="145"/>
      <c r="U1004" s="145"/>
      <c r="V1004" s="145"/>
      <c r="W1004" s="145"/>
      <c r="X1004" s="145"/>
      <c r="Y1004" s="145"/>
      <c r="Z1004" s="145"/>
    </row>
    <row r="1005" spans="1:26" ht="15.75" x14ac:dyDescent="0.25">
      <c r="A1005" s="145"/>
      <c r="B1005" s="145"/>
      <c r="C1005" s="145"/>
      <c r="D1005" s="145"/>
      <c r="E1005" s="145"/>
      <c r="F1005" s="145"/>
      <c r="G1005" s="145"/>
      <c r="H1005" s="145"/>
      <c r="I1005" s="145"/>
      <c r="J1005" s="145"/>
      <c r="K1005" s="145"/>
      <c r="L1005" s="145"/>
      <c r="M1005" s="145"/>
      <c r="N1005" s="145"/>
      <c r="O1005" s="145"/>
      <c r="P1005" s="145"/>
      <c r="Q1005" s="145"/>
      <c r="R1005" s="145"/>
      <c r="S1005" s="145"/>
      <c r="T1005" s="145"/>
      <c r="U1005" s="145"/>
      <c r="V1005" s="145"/>
      <c r="W1005" s="145"/>
      <c r="X1005" s="145"/>
      <c r="Y1005" s="145"/>
      <c r="Z1005" s="145"/>
    </row>
    <row r="1006" spans="1:26" ht="15.75" x14ac:dyDescent="0.25">
      <c r="A1006" s="145"/>
      <c r="B1006" s="145"/>
      <c r="C1006" s="145"/>
      <c r="D1006" s="145"/>
      <c r="E1006" s="145"/>
      <c r="F1006" s="145"/>
      <c r="G1006" s="145"/>
      <c r="H1006" s="145"/>
      <c r="I1006" s="145"/>
      <c r="J1006" s="145"/>
      <c r="K1006" s="145"/>
      <c r="L1006" s="145"/>
      <c r="M1006" s="145"/>
      <c r="N1006" s="145"/>
      <c r="O1006" s="145"/>
      <c r="P1006" s="145"/>
      <c r="Q1006" s="145"/>
      <c r="R1006" s="145"/>
      <c r="S1006" s="145"/>
      <c r="T1006" s="145"/>
      <c r="U1006" s="145"/>
      <c r="V1006" s="145"/>
      <c r="W1006" s="145"/>
      <c r="X1006" s="145"/>
      <c r="Y1006" s="145"/>
      <c r="Z1006" s="145"/>
    </row>
    <row r="1007" spans="1:26" ht="15.75" x14ac:dyDescent="0.25">
      <c r="A1007" s="145"/>
      <c r="B1007" s="145"/>
      <c r="C1007" s="145"/>
      <c r="D1007" s="145"/>
      <c r="E1007" s="145"/>
      <c r="F1007" s="145"/>
      <c r="G1007" s="145"/>
      <c r="H1007" s="145"/>
      <c r="I1007" s="145"/>
      <c r="J1007" s="145"/>
      <c r="K1007" s="145"/>
      <c r="L1007" s="145"/>
      <c r="M1007" s="145"/>
      <c r="N1007" s="145"/>
      <c r="O1007" s="145"/>
      <c r="P1007" s="145"/>
      <c r="Q1007" s="145"/>
      <c r="R1007" s="145"/>
      <c r="S1007" s="145"/>
      <c r="T1007" s="145"/>
      <c r="U1007" s="145"/>
      <c r="V1007" s="145"/>
      <c r="W1007" s="145"/>
      <c r="X1007" s="145"/>
      <c r="Y1007" s="145"/>
      <c r="Z1007" s="145"/>
    </row>
    <row r="1008" spans="1:26" ht="15.75" x14ac:dyDescent="0.25">
      <c r="A1008" s="145"/>
      <c r="B1008" s="145"/>
      <c r="C1008" s="145"/>
      <c r="D1008" s="145"/>
      <c r="E1008" s="145"/>
      <c r="F1008" s="145"/>
      <c r="G1008" s="145"/>
      <c r="H1008" s="145"/>
      <c r="I1008" s="145"/>
      <c r="J1008" s="145"/>
      <c r="K1008" s="145"/>
      <c r="L1008" s="145"/>
      <c r="M1008" s="145"/>
      <c r="N1008" s="145"/>
      <c r="O1008" s="145"/>
      <c r="P1008" s="145"/>
      <c r="Q1008" s="145"/>
      <c r="R1008" s="145"/>
      <c r="S1008" s="145"/>
      <c r="T1008" s="145"/>
      <c r="U1008" s="145"/>
      <c r="V1008" s="145"/>
      <c r="W1008" s="145"/>
      <c r="X1008" s="145"/>
      <c r="Y1008" s="145"/>
      <c r="Z1008" s="145"/>
    </row>
    <row r="1009" spans="1:26" ht="15.75" x14ac:dyDescent="0.25">
      <c r="A1009" s="145"/>
      <c r="B1009" s="145"/>
      <c r="C1009" s="145"/>
      <c r="D1009" s="145"/>
      <c r="E1009" s="145"/>
      <c r="F1009" s="145"/>
      <c r="G1009" s="145"/>
      <c r="H1009" s="145"/>
      <c r="I1009" s="145"/>
      <c r="J1009" s="145"/>
      <c r="K1009" s="145"/>
      <c r="L1009" s="145"/>
      <c r="M1009" s="145"/>
      <c r="N1009" s="145"/>
      <c r="O1009" s="145"/>
      <c r="P1009" s="145"/>
      <c r="Q1009" s="145"/>
      <c r="R1009" s="145"/>
      <c r="S1009" s="145"/>
      <c r="T1009" s="145"/>
      <c r="U1009" s="145"/>
      <c r="V1009" s="145"/>
      <c r="W1009" s="145"/>
      <c r="X1009" s="145"/>
      <c r="Y1009" s="145"/>
      <c r="Z1009" s="145"/>
    </row>
  </sheetData>
  <mergeCells count="49">
    <mergeCell ref="A20:E20"/>
    <mergeCell ref="A4:H4"/>
    <mergeCell ref="A9:H9"/>
    <mergeCell ref="A10:E10"/>
    <mergeCell ref="A11:E11"/>
    <mergeCell ref="A12:E12"/>
    <mergeCell ref="A13:E13"/>
    <mergeCell ref="A14:E14"/>
    <mergeCell ref="A15:E15"/>
    <mergeCell ref="A16:E16"/>
    <mergeCell ref="A18:E18"/>
    <mergeCell ref="A19:E19"/>
    <mergeCell ref="A34:E34"/>
    <mergeCell ref="A21:E21"/>
    <mergeCell ref="A22:E22"/>
    <mergeCell ref="A23:E23"/>
    <mergeCell ref="A24:E24"/>
    <mergeCell ref="A27:E27"/>
    <mergeCell ref="A28:E28"/>
    <mergeCell ref="A29:E29"/>
    <mergeCell ref="A30:E30"/>
    <mergeCell ref="A31:E31"/>
    <mergeCell ref="A32:E32"/>
    <mergeCell ref="A33:E33"/>
    <mergeCell ref="A82:D82"/>
    <mergeCell ref="A35:E35"/>
    <mergeCell ref="A36:E36"/>
    <mergeCell ref="A37:E37"/>
    <mergeCell ref="A38:E38"/>
    <mergeCell ref="A42:B42"/>
    <mergeCell ref="C42:D42"/>
    <mergeCell ref="E42:K42"/>
    <mergeCell ref="L42:N42"/>
    <mergeCell ref="P42:R42"/>
    <mergeCell ref="A78:D78"/>
    <mergeCell ref="A79:D79"/>
    <mergeCell ref="A80:D80"/>
    <mergeCell ref="A117:C117"/>
    <mergeCell ref="A83:D83"/>
    <mergeCell ref="A87:C87"/>
    <mergeCell ref="A88:C88"/>
    <mergeCell ref="A89:C89"/>
    <mergeCell ref="A90:C90"/>
    <mergeCell ref="A91:C91"/>
    <mergeCell ref="A95:C95"/>
    <mergeCell ref="A96:C96"/>
    <mergeCell ref="A97:C97"/>
    <mergeCell ref="A98:C98"/>
    <mergeCell ref="A116:C116"/>
  </mergeCells>
  <hyperlinks>
    <hyperlink ref="I89" r:id="rId1" xr:uid="{66C2B38B-7C76-4084-A4AE-E0EA414565A9}"/>
    <hyperlink ref="I87" r:id="rId2" location="fi_id7000000778" display="https://co2data.fi/rakentaminen/ - fi_id7000000778" xr:uid="{4235A1D0-FF4E-4626-AA78-70E58B9F7F42}"/>
    <hyperlink ref="I88" r:id="rId3" location="fi_id7000000763" display="https://co2data.fi/rakentaminen/ - fi_id7000000763" xr:uid="{A4CB8B9A-6020-471C-8032-817FAD788733}"/>
    <hyperlink ref="I91" r:id="rId4" xr:uid="{243FA50B-6064-4E2B-B2B5-A82E034F5B2A}"/>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A564-D884-48E2-91F6-57326BC7F8E7}">
  <sheetPr>
    <outlinePr summaryBelow="0" summaryRight="0"/>
  </sheetPr>
  <dimension ref="A1:AD1009"/>
  <sheetViews>
    <sheetView showGridLines="0" topLeftCell="A4" zoomScale="60" zoomScaleNormal="60" workbookViewId="0">
      <selection activeCell="A5" sqref="A5"/>
    </sheetView>
  </sheetViews>
  <sheetFormatPr defaultColWidth="14.5703125" defaultRowHeight="15" customHeight="1" x14ac:dyDescent="0.25"/>
  <cols>
    <col min="1" max="2" width="11.5703125" style="147" customWidth="1"/>
    <col min="3" max="3" width="11.140625" style="147" customWidth="1"/>
    <col min="4" max="4" width="14.140625" style="147" customWidth="1"/>
    <col min="5" max="5" width="12.5703125" style="147" customWidth="1"/>
    <col min="6" max="6" width="11.42578125" style="147" customWidth="1"/>
    <col min="7" max="7" width="11.140625" style="147" customWidth="1"/>
    <col min="8" max="8" width="13.5703125" style="147" customWidth="1"/>
    <col min="9" max="9" width="13.85546875" style="147" customWidth="1"/>
    <col min="10" max="10" width="13.7109375" style="147" customWidth="1"/>
    <col min="11" max="11" width="13.5703125" style="147" customWidth="1"/>
    <col min="12" max="12" width="9.85546875" style="147" customWidth="1"/>
    <col min="13" max="13" width="13.5703125" style="147" customWidth="1"/>
    <col min="14" max="14" width="14.28515625" style="147" customWidth="1"/>
    <col min="15" max="15" width="14.140625" style="147" customWidth="1"/>
    <col min="16" max="16" width="13.140625" style="147" customWidth="1"/>
    <col min="17" max="17" width="14.5703125" style="147" customWidth="1"/>
    <col min="18" max="16384" width="14.5703125" style="147"/>
  </cols>
  <sheetData>
    <row r="1" spans="1:26" ht="15.75" x14ac:dyDescent="0.25">
      <c r="A1" s="143" t="s">
        <v>263</v>
      </c>
      <c r="B1" s="144"/>
      <c r="C1" s="144"/>
      <c r="D1" s="144"/>
      <c r="E1" s="145"/>
      <c r="F1" s="145"/>
      <c r="G1" s="145"/>
      <c r="H1" s="145"/>
      <c r="I1" s="145"/>
      <c r="J1" s="145"/>
      <c r="K1" s="145"/>
      <c r="L1" s="145"/>
      <c r="M1" s="145"/>
      <c r="N1" s="145"/>
      <c r="O1" s="145"/>
      <c r="P1" s="145"/>
      <c r="Q1" s="145"/>
      <c r="R1" s="145"/>
      <c r="S1" s="145"/>
      <c r="T1" s="145"/>
      <c r="U1" s="145"/>
      <c r="V1" s="145"/>
      <c r="W1" s="145"/>
      <c r="X1" s="145"/>
      <c r="Y1" s="145"/>
      <c r="Z1" s="145"/>
    </row>
    <row r="2" spans="1:26" ht="15.75" x14ac:dyDescent="0.25">
      <c r="A2" s="145" t="s">
        <v>153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row>
    <row r="3" spans="1:26" ht="15.75" x14ac:dyDescent="0.25">
      <c r="A3" s="252" t="s">
        <v>279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ht="57.6" customHeight="1" x14ac:dyDescent="0.25">
      <c r="A4" s="422" t="s">
        <v>251</v>
      </c>
      <c r="B4" s="423"/>
      <c r="C4" s="423"/>
      <c r="D4" s="423"/>
      <c r="E4" s="423"/>
      <c r="F4" s="423"/>
      <c r="G4" s="423"/>
      <c r="H4" s="423"/>
      <c r="I4" s="145"/>
      <c r="J4" s="145"/>
      <c r="K4" s="145"/>
      <c r="L4" s="145"/>
      <c r="M4" s="145"/>
      <c r="N4" s="145"/>
      <c r="O4" s="145"/>
      <c r="P4" s="145"/>
      <c r="Q4" s="145"/>
      <c r="R4" s="145"/>
      <c r="S4" s="145"/>
      <c r="T4" s="145"/>
      <c r="U4" s="145"/>
      <c r="V4" s="145"/>
      <c r="W4" s="145"/>
      <c r="X4" s="145"/>
      <c r="Y4" s="145"/>
      <c r="Z4" s="145"/>
    </row>
    <row r="5" spans="1:26" ht="15.75" customHeight="1" x14ac:dyDescent="0.25">
      <c r="A5" s="148"/>
      <c r="B5" s="145"/>
      <c r="C5" s="145"/>
      <c r="D5" s="145"/>
      <c r="E5" s="145"/>
      <c r="F5" s="145"/>
      <c r="G5" s="145"/>
      <c r="H5" s="145"/>
      <c r="I5" s="145"/>
      <c r="J5" s="145"/>
      <c r="K5" s="145"/>
      <c r="L5" s="145"/>
      <c r="M5" s="145"/>
      <c r="N5" s="145"/>
      <c r="O5" s="145"/>
      <c r="P5" s="145"/>
      <c r="Q5" s="145"/>
      <c r="R5" s="145"/>
      <c r="S5" s="145"/>
      <c r="T5" s="145"/>
      <c r="U5" s="145"/>
      <c r="V5" s="145"/>
      <c r="W5" s="145"/>
      <c r="X5" s="145"/>
      <c r="Y5" s="145"/>
      <c r="Z5" s="145"/>
    </row>
    <row r="6" spans="1:26" ht="15.75" customHeight="1" x14ac:dyDescent="0.25">
      <c r="A6" s="148" t="s">
        <v>0</v>
      </c>
      <c r="B6" s="145"/>
      <c r="C6" s="145"/>
      <c r="D6" s="145"/>
      <c r="E6" s="145"/>
      <c r="F6" s="145"/>
      <c r="G6" s="145"/>
      <c r="H6" s="145"/>
      <c r="I6" s="145"/>
      <c r="J6" s="145"/>
      <c r="K6" s="145"/>
      <c r="L6" s="145"/>
      <c r="M6" s="145"/>
      <c r="N6" s="145"/>
      <c r="O6" s="145"/>
      <c r="P6" s="145"/>
      <c r="Q6" s="145"/>
      <c r="R6" s="145"/>
      <c r="S6" s="145"/>
      <c r="T6" s="145"/>
      <c r="U6" s="145"/>
      <c r="V6" s="145"/>
      <c r="W6" s="145"/>
      <c r="X6" s="145"/>
      <c r="Y6" s="145"/>
      <c r="Z6" s="145"/>
    </row>
    <row r="7" spans="1:26" ht="15.75" customHeight="1" x14ac:dyDescent="0.25">
      <c r="A7" s="149" t="s">
        <v>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5.75" x14ac:dyDescent="0.25">
      <c r="A8" s="150"/>
      <c r="B8" s="150"/>
      <c r="C8" s="150"/>
      <c r="D8" s="150"/>
      <c r="E8" s="150"/>
      <c r="F8" s="150"/>
      <c r="G8" s="145"/>
      <c r="H8" s="145"/>
      <c r="I8" s="145"/>
      <c r="J8" s="145"/>
      <c r="K8" s="145"/>
      <c r="L8" s="145"/>
      <c r="M8" s="145"/>
      <c r="N8" s="145"/>
      <c r="O8" s="145"/>
      <c r="P8" s="145"/>
      <c r="Q8" s="145"/>
      <c r="R8" s="145"/>
      <c r="S8" s="145"/>
      <c r="T8" s="145"/>
      <c r="U8" s="145"/>
      <c r="V8" s="145"/>
      <c r="W8" s="145"/>
      <c r="X8" s="145"/>
      <c r="Y8" s="145"/>
      <c r="Z8" s="145"/>
    </row>
    <row r="9" spans="1:26" ht="15.75" x14ac:dyDescent="0.25">
      <c r="A9" s="424" t="s">
        <v>154</v>
      </c>
      <c r="B9" s="423"/>
      <c r="C9" s="423"/>
      <c r="D9" s="423"/>
      <c r="E9" s="423"/>
      <c r="F9" s="423"/>
      <c r="G9" s="423"/>
      <c r="H9" s="423"/>
      <c r="I9" s="145"/>
      <c r="J9" s="145"/>
      <c r="K9" s="145"/>
      <c r="L9" s="145"/>
      <c r="M9" s="145"/>
      <c r="N9" s="145"/>
      <c r="O9" s="145"/>
      <c r="P9" s="145"/>
      <c r="Q9" s="145"/>
      <c r="R9" s="145"/>
      <c r="S9" s="145"/>
      <c r="T9" s="145"/>
      <c r="U9" s="145"/>
      <c r="V9" s="145"/>
      <c r="W9" s="145"/>
      <c r="X9" s="145"/>
      <c r="Y9" s="145"/>
      <c r="Z9" s="145"/>
    </row>
    <row r="10" spans="1:26" ht="15.75" customHeight="1" x14ac:dyDescent="0.25">
      <c r="A10" s="425" t="s">
        <v>2</v>
      </c>
      <c r="B10" s="395"/>
      <c r="C10" s="395"/>
      <c r="D10" s="395"/>
      <c r="E10" s="396"/>
      <c r="F10" s="151">
        <f>(5)</f>
        <v>5</v>
      </c>
      <c r="G10" s="145" t="s">
        <v>3</v>
      </c>
      <c r="H10" s="145" t="s">
        <v>155</v>
      </c>
      <c r="I10" s="145"/>
      <c r="J10" s="145"/>
      <c r="K10" s="145"/>
      <c r="L10" s="145"/>
      <c r="M10" s="145"/>
      <c r="N10" s="145"/>
      <c r="O10" s="145"/>
      <c r="P10" s="145"/>
      <c r="Q10" s="145"/>
      <c r="R10" s="145"/>
      <c r="S10" s="145"/>
      <c r="T10" s="145"/>
      <c r="U10" s="145"/>
      <c r="V10" s="145"/>
      <c r="W10" s="145"/>
      <c r="X10" s="145"/>
      <c r="Y10" s="145"/>
      <c r="Z10" s="145"/>
    </row>
    <row r="11" spans="1:26" ht="15.75" customHeight="1" x14ac:dyDescent="0.25">
      <c r="A11" s="425" t="s">
        <v>156</v>
      </c>
      <c r="B11" s="395"/>
      <c r="C11" s="395"/>
      <c r="D11" s="395"/>
      <c r="E11" s="396"/>
      <c r="F11" s="151">
        <f>(4)</f>
        <v>4</v>
      </c>
      <c r="G11" s="145" t="s">
        <v>3</v>
      </c>
      <c r="H11" s="145" t="s">
        <v>157</v>
      </c>
      <c r="I11" s="145"/>
      <c r="J11" s="145"/>
      <c r="K11" s="145"/>
      <c r="L11" s="145"/>
      <c r="M11" s="145"/>
      <c r="N11" s="145"/>
      <c r="O11" s="145"/>
      <c r="P11" s="145"/>
      <c r="Q11" s="145"/>
      <c r="R11" s="145"/>
      <c r="S11" s="145"/>
      <c r="T11" s="145"/>
      <c r="U11" s="145"/>
      <c r="V11" s="145"/>
      <c r="W11" s="145"/>
      <c r="X11" s="145"/>
      <c r="Y11" s="145"/>
      <c r="Z11" s="145"/>
    </row>
    <row r="12" spans="1:26" ht="15.75" customHeight="1" x14ac:dyDescent="0.25">
      <c r="A12" s="425" t="s">
        <v>5</v>
      </c>
      <c r="B12" s="395"/>
      <c r="C12" s="395"/>
      <c r="D12" s="395"/>
      <c r="E12" s="396"/>
      <c r="F12" s="152">
        <v>2.2530000000000001</v>
      </c>
      <c r="G12" s="145" t="s">
        <v>3</v>
      </c>
      <c r="H12" s="145" t="s">
        <v>158</v>
      </c>
      <c r="I12" s="145"/>
      <c r="J12" s="145"/>
      <c r="K12" s="145"/>
      <c r="L12" s="145"/>
      <c r="M12" s="145"/>
      <c r="N12" s="145"/>
      <c r="O12" s="145"/>
      <c r="P12" s="145"/>
      <c r="Q12" s="145"/>
      <c r="R12" s="145"/>
      <c r="S12" s="145"/>
      <c r="T12" s="145"/>
      <c r="U12" s="145"/>
      <c r="V12" s="145"/>
      <c r="W12" s="145"/>
      <c r="X12" s="145"/>
      <c r="Y12" s="145"/>
      <c r="Z12" s="145"/>
    </row>
    <row r="13" spans="1:26" ht="15.75" customHeight="1" x14ac:dyDescent="0.25">
      <c r="A13" s="425" t="s">
        <v>7</v>
      </c>
      <c r="B13" s="395"/>
      <c r="C13" s="395"/>
      <c r="D13" s="395"/>
      <c r="E13" s="396"/>
      <c r="F13" s="325">
        <v>0.255</v>
      </c>
      <c r="G13" s="145"/>
      <c r="H13" s="145" t="s">
        <v>272</v>
      </c>
      <c r="I13" s="145"/>
      <c r="J13" s="145"/>
      <c r="K13" s="145"/>
      <c r="L13" s="145"/>
      <c r="M13" s="145"/>
      <c r="N13" s="145"/>
      <c r="O13" s="145"/>
      <c r="P13" s="145"/>
      <c r="Q13" s="145"/>
      <c r="R13" s="145"/>
      <c r="S13" s="145"/>
      <c r="T13" s="145"/>
      <c r="U13" s="145"/>
      <c r="V13" s="145"/>
      <c r="W13" s="145"/>
      <c r="X13" s="145"/>
      <c r="Y13" s="145"/>
      <c r="Z13" s="145"/>
    </row>
    <row r="14" spans="1:26" ht="15.75" customHeight="1" x14ac:dyDescent="0.25">
      <c r="A14" s="412" t="s">
        <v>159</v>
      </c>
      <c r="B14" s="395"/>
      <c r="C14" s="395"/>
      <c r="D14" s="395"/>
      <c r="E14" s="396"/>
      <c r="F14" s="324">
        <f>(F10+F11+F12)*(1+F13)</f>
        <v>14.122514999999998</v>
      </c>
      <c r="G14" s="145" t="s">
        <v>3</v>
      </c>
      <c r="H14" s="145"/>
      <c r="I14" s="145"/>
      <c r="J14" s="145"/>
      <c r="K14" s="145"/>
      <c r="L14" s="145"/>
      <c r="M14" s="145"/>
      <c r="N14" s="145"/>
      <c r="O14" s="145"/>
      <c r="P14" s="145"/>
      <c r="Q14" s="145"/>
      <c r="R14" s="145"/>
      <c r="S14" s="145"/>
      <c r="T14" s="145"/>
      <c r="U14" s="145"/>
      <c r="V14" s="145"/>
      <c r="W14" s="145"/>
      <c r="X14" s="145"/>
      <c r="Y14" s="145"/>
      <c r="Z14" s="145"/>
    </row>
    <row r="15" spans="1:26" ht="15.75" customHeight="1" x14ac:dyDescent="0.25">
      <c r="A15" s="414" t="s">
        <v>160</v>
      </c>
      <c r="B15" s="408"/>
      <c r="C15" s="408"/>
      <c r="D15" s="408"/>
      <c r="E15" s="409"/>
      <c r="F15" s="153">
        <v>0.01</v>
      </c>
      <c r="G15" s="145" t="s">
        <v>161</v>
      </c>
      <c r="H15" s="145" t="s">
        <v>162</v>
      </c>
      <c r="I15" s="145"/>
      <c r="J15" s="145"/>
      <c r="K15" s="145"/>
      <c r="L15" s="145"/>
      <c r="M15" s="145"/>
      <c r="N15" s="145"/>
      <c r="O15" s="145"/>
      <c r="P15" s="145"/>
      <c r="Q15" s="145"/>
      <c r="R15" s="145"/>
      <c r="S15" s="145"/>
      <c r="T15" s="145"/>
      <c r="U15" s="145"/>
      <c r="V15" s="145"/>
      <c r="W15" s="145"/>
      <c r="X15" s="145"/>
      <c r="Y15" s="145"/>
      <c r="Z15" s="145"/>
    </row>
    <row r="16" spans="1:26" ht="15.75" customHeight="1" x14ac:dyDescent="0.25">
      <c r="A16" s="426" t="s">
        <v>163</v>
      </c>
      <c r="B16" s="426"/>
      <c r="C16" s="426"/>
      <c r="D16" s="426"/>
      <c r="E16" s="426"/>
      <c r="F16" s="277">
        <f>(7500+4800)</f>
        <v>12300</v>
      </c>
      <c r="G16" s="150" t="s">
        <v>10</v>
      </c>
      <c r="H16" s="145"/>
      <c r="I16" s="145"/>
      <c r="J16" s="145"/>
      <c r="K16" s="145"/>
      <c r="L16" s="145"/>
      <c r="M16" s="145"/>
      <c r="N16" s="145"/>
      <c r="O16" s="145"/>
      <c r="P16" s="145"/>
      <c r="Q16" s="145"/>
      <c r="R16" s="145"/>
      <c r="S16" s="145"/>
      <c r="T16" s="145"/>
      <c r="U16" s="145"/>
      <c r="V16" s="145"/>
      <c r="W16" s="145"/>
      <c r="X16" s="145"/>
      <c r="Y16" s="145"/>
      <c r="Z16" s="145"/>
    </row>
    <row r="17" spans="1:26" ht="15.75" customHeight="1" x14ac:dyDescent="0.25">
      <c r="A17" s="154" t="s">
        <v>164</v>
      </c>
      <c r="B17" s="150"/>
      <c r="C17" s="150"/>
      <c r="F17" s="150"/>
      <c r="G17" s="150"/>
      <c r="H17" s="145"/>
      <c r="I17" s="145"/>
      <c r="J17" s="145"/>
      <c r="K17" s="145"/>
      <c r="L17" s="145"/>
      <c r="M17" s="145"/>
      <c r="N17" s="145"/>
      <c r="O17" s="145"/>
      <c r="P17" s="145"/>
      <c r="Q17" s="145"/>
      <c r="R17" s="145"/>
      <c r="S17" s="145"/>
      <c r="T17" s="145"/>
      <c r="U17" s="145"/>
      <c r="V17" s="145"/>
      <c r="W17" s="145"/>
      <c r="X17" s="145"/>
      <c r="Y17" s="145"/>
      <c r="Z17" s="145"/>
    </row>
    <row r="18" spans="1:26" ht="15.75" x14ac:dyDescent="0.25">
      <c r="A18" s="399" t="s">
        <v>165</v>
      </c>
      <c r="B18" s="395"/>
      <c r="C18" s="395"/>
      <c r="D18" s="395"/>
      <c r="E18" s="396"/>
      <c r="F18" s="151">
        <v>4.95</v>
      </c>
      <c r="G18" s="155" t="s">
        <v>12</v>
      </c>
      <c r="I18" s="145"/>
      <c r="J18" s="145"/>
      <c r="K18" s="145"/>
      <c r="L18" s="145"/>
      <c r="M18" s="145"/>
      <c r="N18" s="145"/>
      <c r="O18" s="145"/>
      <c r="P18" s="145"/>
      <c r="Q18" s="145"/>
      <c r="R18" s="145"/>
      <c r="S18" s="145"/>
      <c r="T18" s="145"/>
      <c r="U18" s="145"/>
      <c r="V18" s="145"/>
      <c r="W18" s="145"/>
      <c r="X18" s="145"/>
      <c r="Y18" s="145"/>
      <c r="Z18" s="145"/>
    </row>
    <row r="19" spans="1:26" ht="15.75" x14ac:dyDescent="0.25">
      <c r="A19" s="421" t="s">
        <v>13</v>
      </c>
      <c r="B19" s="395"/>
      <c r="C19" s="395"/>
      <c r="D19" s="395"/>
      <c r="E19" s="396"/>
      <c r="F19" s="156">
        <f>(F18*1000)/250*1.7</f>
        <v>33.660000000000004</v>
      </c>
      <c r="G19" s="157" t="s">
        <v>14</v>
      </c>
      <c r="H19" s="145"/>
      <c r="I19" s="145"/>
      <c r="J19" s="145"/>
      <c r="K19" s="145"/>
      <c r="L19" s="145"/>
      <c r="M19" s="145"/>
      <c r="N19" s="145"/>
      <c r="O19" s="145"/>
      <c r="P19" s="145"/>
      <c r="Q19" s="145"/>
      <c r="R19" s="145"/>
      <c r="S19" s="145"/>
      <c r="T19" s="145"/>
      <c r="U19" s="145"/>
      <c r="V19" s="145"/>
      <c r="W19" s="145"/>
      <c r="X19" s="145"/>
      <c r="Y19" s="145"/>
      <c r="Z19" s="145"/>
    </row>
    <row r="20" spans="1:26" ht="15.75" x14ac:dyDescent="0.25">
      <c r="A20" s="399" t="s">
        <v>166</v>
      </c>
      <c r="B20" s="395"/>
      <c r="C20" s="395"/>
      <c r="D20" s="395"/>
      <c r="E20" s="396"/>
      <c r="F20" s="158">
        <v>880</v>
      </c>
      <c r="G20" s="145" t="s">
        <v>25</v>
      </c>
      <c r="H20" s="145" t="s">
        <v>26</v>
      </c>
      <c r="I20" s="145"/>
      <c r="J20" s="145"/>
      <c r="K20" s="145"/>
      <c r="L20" s="145"/>
      <c r="M20" s="145"/>
      <c r="N20" s="145"/>
      <c r="O20" s="145"/>
      <c r="P20" s="145"/>
      <c r="Q20" s="145"/>
      <c r="R20" s="145"/>
      <c r="S20" s="145"/>
      <c r="T20" s="145"/>
      <c r="U20" s="145"/>
      <c r="V20" s="145"/>
      <c r="W20" s="145"/>
      <c r="X20" s="145"/>
      <c r="Y20" s="145"/>
      <c r="Z20" s="145"/>
    </row>
    <row r="21" spans="1:26" ht="15.75" customHeight="1" x14ac:dyDescent="0.25">
      <c r="A21" s="419" t="s">
        <v>167</v>
      </c>
      <c r="B21" s="395"/>
      <c r="C21" s="395"/>
      <c r="D21" s="395"/>
      <c r="E21" s="396"/>
      <c r="F21" s="159">
        <f>(F18)*F20</f>
        <v>4356</v>
      </c>
      <c r="G21" s="157" t="s">
        <v>27</v>
      </c>
      <c r="H21" s="145"/>
      <c r="I21" s="145"/>
      <c r="J21" s="145"/>
      <c r="K21" s="145"/>
      <c r="L21" s="145"/>
      <c r="M21" s="145"/>
      <c r="N21" s="145"/>
      <c r="O21" s="145"/>
      <c r="P21" s="145"/>
      <c r="Q21" s="145"/>
      <c r="R21" s="145"/>
      <c r="S21" s="145"/>
      <c r="T21" s="145"/>
      <c r="U21" s="145"/>
      <c r="V21" s="145"/>
      <c r="W21" s="145"/>
      <c r="X21" s="145"/>
      <c r="Y21" s="145"/>
      <c r="Z21" s="145"/>
    </row>
    <row r="22" spans="1:26" ht="15.75" x14ac:dyDescent="0.25">
      <c r="A22" s="399" t="s">
        <v>28</v>
      </c>
      <c r="B22" s="395"/>
      <c r="C22" s="395"/>
      <c r="D22" s="395"/>
      <c r="E22" s="396"/>
      <c r="F22" s="160">
        <v>-5.0000000000000001E-3</v>
      </c>
      <c r="G22" s="145" t="s">
        <v>8</v>
      </c>
      <c r="H22" s="145" t="s">
        <v>29</v>
      </c>
      <c r="I22" s="145"/>
      <c r="J22" s="145"/>
      <c r="K22" s="145"/>
      <c r="L22" s="145"/>
      <c r="M22" s="145"/>
      <c r="N22" s="145"/>
      <c r="O22" s="145"/>
      <c r="P22" s="145"/>
      <c r="Q22" s="145"/>
      <c r="R22" s="145"/>
      <c r="S22" s="145"/>
      <c r="T22" s="145"/>
      <c r="U22" s="145"/>
      <c r="V22" s="145"/>
      <c r="W22" s="145"/>
      <c r="X22" s="145"/>
      <c r="Y22" s="145"/>
      <c r="Z22" s="145"/>
    </row>
    <row r="23" spans="1:26" ht="15.75" x14ac:dyDescent="0.25">
      <c r="A23" s="413" t="s">
        <v>225</v>
      </c>
      <c r="B23" s="395"/>
      <c r="C23" s="395"/>
      <c r="D23" s="395"/>
      <c r="E23" s="396"/>
      <c r="F23" s="161">
        <v>0.1</v>
      </c>
      <c r="G23" s="162"/>
      <c r="H23" s="145" t="s">
        <v>168</v>
      </c>
      <c r="I23" s="162"/>
      <c r="J23" s="162"/>
      <c r="K23" s="162"/>
      <c r="L23" s="162"/>
      <c r="M23" s="162"/>
      <c r="N23" s="162"/>
      <c r="O23" s="162"/>
      <c r="P23" s="162"/>
      <c r="Q23" s="162"/>
      <c r="R23" s="162"/>
      <c r="S23" s="162"/>
      <c r="T23" s="162"/>
      <c r="U23" s="162"/>
      <c r="V23" s="162"/>
      <c r="W23" s="162"/>
      <c r="X23" s="162"/>
      <c r="Y23" s="162"/>
      <c r="Z23" s="162"/>
    </row>
    <row r="24" spans="1:26" ht="15.75" customHeight="1" x14ac:dyDescent="0.25">
      <c r="A24" s="420" t="s">
        <v>169</v>
      </c>
      <c r="B24" s="395"/>
      <c r="C24" s="395"/>
      <c r="D24" s="395"/>
      <c r="E24" s="396"/>
      <c r="F24" s="151">
        <f>(2)</f>
        <v>2</v>
      </c>
      <c r="G24" s="145" t="s">
        <v>3</v>
      </c>
      <c r="H24" s="145" t="s">
        <v>170</v>
      </c>
      <c r="I24" s="145"/>
      <c r="J24" s="145"/>
      <c r="K24" s="145"/>
      <c r="L24" s="145"/>
      <c r="M24" s="145"/>
      <c r="N24" s="145"/>
      <c r="O24" s="145"/>
      <c r="P24" s="145"/>
      <c r="Q24" s="145"/>
      <c r="R24" s="145"/>
      <c r="S24" s="145"/>
      <c r="T24" s="145"/>
      <c r="U24" s="145"/>
      <c r="V24" s="145"/>
      <c r="W24" s="145"/>
      <c r="X24" s="145"/>
      <c r="Y24" s="145"/>
      <c r="Z24" s="145"/>
    </row>
    <row r="25" spans="1:26" ht="15.75" x14ac:dyDescent="0.25">
      <c r="A25" s="163"/>
      <c r="B25" s="163"/>
      <c r="C25" s="163"/>
      <c r="D25" s="163"/>
      <c r="E25" s="163"/>
      <c r="F25" s="164"/>
      <c r="G25" s="162"/>
      <c r="H25" s="162"/>
      <c r="I25" s="162"/>
      <c r="J25" s="162"/>
      <c r="K25" s="162"/>
      <c r="L25" s="162"/>
      <c r="M25" s="162"/>
      <c r="N25" s="162"/>
      <c r="O25" s="162"/>
      <c r="P25" s="162"/>
      <c r="Q25" s="162"/>
      <c r="R25" s="162"/>
      <c r="S25" s="162"/>
      <c r="T25" s="162"/>
      <c r="U25" s="162"/>
      <c r="V25" s="162"/>
      <c r="W25" s="162"/>
      <c r="X25" s="162"/>
      <c r="Y25" s="162"/>
      <c r="Z25" s="162"/>
    </row>
    <row r="26" spans="1:26" ht="15.75" x14ac:dyDescent="0.25">
      <c r="A26" s="165" t="s">
        <v>171</v>
      </c>
      <c r="B26" s="163"/>
      <c r="C26" s="163"/>
      <c r="D26" s="163"/>
      <c r="E26" s="163"/>
      <c r="F26" s="164"/>
      <c r="G26" s="162"/>
      <c r="H26" s="162"/>
      <c r="I26" s="162"/>
      <c r="J26" s="162"/>
      <c r="K26" s="162"/>
      <c r="L26" s="162"/>
      <c r="M26" s="162"/>
      <c r="N26" s="162"/>
      <c r="O26" s="162"/>
      <c r="P26" s="162"/>
      <c r="Q26" s="162"/>
      <c r="R26" s="162"/>
      <c r="S26" s="162"/>
      <c r="T26" s="162"/>
      <c r="U26" s="162"/>
      <c r="V26" s="162"/>
      <c r="W26" s="162"/>
      <c r="X26" s="162"/>
      <c r="Y26" s="162"/>
      <c r="Z26" s="162"/>
    </row>
    <row r="27" spans="1:26" ht="15.75" x14ac:dyDescent="0.25">
      <c r="A27" s="399" t="s">
        <v>172</v>
      </c>
      <c r="B27" s="395"/>
      <c r="C27" s="395"/>
      <c r="D27" s="395"/>
      <c r="E27" s="396"/>
      <c r="F27" s="166">
        <v>7250</v>
      </c>
      <c r="G27" s="145" t="s">
        <v>15</v>
      </c>
      <c r="H27" s="145" t="s">
        <v>273</v>
      </c>
      <c r="I27" s="145"/>
      <c r="J27" s="145"/>
      <c r="K27" s="145"/>
      <c r="L27" s="145"/>
      <c r="M27" s="145"/>
      <c r="N27" s="145"/>
      <c r="O27" s="145"/>
      <c r="P27" s="145"/>
      <c r="Q27" s="145"/>
      <c r="R27" s="145"/>
      <c r="S27" s="145"/>
      <c r="T27" s="145"/>
      <c r="U27" s="145"/>
      <c r="V27" s="145"/>
      <c r="W27" s="145"/>
      <c r="X27" s="145"/>
      <c r="Y27" s="145"/>
      <c r="Z27" s="145"/>
    </row>
    <row r="28" spans="1:26" ht="15.75" x14ac:dyDescent="0.25">
      <c r="A28" s="421" t="s">
        <v>16</v>
      </c>
      <c r="B28" s="395"/>
      <c r="C28" s="395"/>
      <c r="D28" s="395"/>
      <c r="E28" s="396"/>
      <c r="F28" s="167">
        <f>F27/F18</f>
        <v>1464.6464646464647</v>
      </c>
      <c r="G28" s="157" t="s">
        <v>17</v>
      </c>
      <c r="H28" s="145"/>
      <c r="I28" s="145"/>
      <c r="J28" s="145"/>
      <c r="K28" s="145"/>
      <c r="L28" s="145"/>
      <c r="M28" s="145"/>
      <c r="N28" s="145"/>
      <c r="O28" s="145"/>
      <c r="P28" s="145"/>
      <c r="Q28" s="145"/>
      <c r="R28" s="145"/>
      <c r="S28" s="145"/>
      <c r="T28" s="145"/>
      <c r="U28" s="145"/>
      <c r="V28" s="145"/>
      <c r="W28" s="145"/>
      <c r="X28" s="145"/>
      <c r="Y28" s="145"/>
      <c r="Z28" s="145"/>
    </row>
    <row r="29" spans="1:26" ht="15.75" x14ac:dyDescent="0.25">
      <c r="A29" s="420" t="s">
        <v>173</v>
      </c>
      <c r="B29" s="395"/>
      <c r="C29" s="395"/>
      <c r="D29" s="395"/>
      <c r="E29" s="396"/>
      <c r="F29" s="161">
        <v>0.1</v>
      </c>
      <c r="G29" s="145"/>
      <c r="H29" s="145" t="s">
        <v>278</v>
      </c>
      <c r="I29" s="145"/>
      <c r="J29" s="145"/>
      <c r="K29" s="145"/>
      <c r="L29" s="145"/>
      <c r="M29" s="145"/>
      <c r="N29" s="145"/>
      <c r="O29" s="145"/>
      <c r="P29" s="145"/>
      <c r="Q29" s="145"/>
      <c r="R29" s="145"/>
      <c r="S29" s="145"/>
      <c r="T29" s="145"/>
      <c r="U29" s="145"/>
      <c r="V29" s="145"/>
      <c r="W29" s="145"/>
      <c r="X29" s="145"/>
      <c r="Y29" s="145"/>
      <c r="Z29" s="145"/>
    </row>
    <row r="30" spans="1:26" ht="15.75" customHeight="1" x14ac:dyDescent="0.25">
      <c r="A30" s="420" t="s">
        <v>21</v>
      </c>
      <c r="B30" s="395"/>
      <c r="C30" s="395"/>
      <c r="D30" s="395"/>
      <c r="E30" s="396"/>
      <c r="F30" s="168">
        <v>0</v>
      </c>
      <c r="G30" s="145" t="s">
        <v>15</v>
      </c>
      <c r="H30" s="145"/>
      <c r="I30" s="145"/>
      <c r="J30" s="145"/>
      <c r="K30" s="145"/>
      <c r="L30" s="145"/>
      <c r="M30" s="145"/>
      <c r="N30" s="145"/>
      <c r="O30" s="145"/>
      <c r="P30" s="145"/>
      <c r="Q30" s="145"/>
      <c r="R30" s="145"/>
      <c r="S30" s="145"/>
      <c r="T30" s="145"/>
      <c r="U30" s="145"/>
      <c r="V30" s="145"/>
      <c r="W30" s="145"/>
      <c r="X30" s="145"/>
      <c r="Y30" s="145"/>
      <c r="Z30" s="145"/>
    </row>
    <row r="31" spans="1:26" ht="15.75" x14ac:dyDescent="0.25">
      <c r="A31" s="412" t="s">
        <v>22</v>
      </c>
      <c r="B31" s="395"/>
      <c r="C31" s="395"/>
      <c r="D31" s="395"/>
      <c r="E31" s="395"/>
      <c r="F31" s="167">
        <f>F27-(F27*F29)-F30</f>
        <v>6525</v>
      </c>
      <c r="G31" s="157" t="s">
        <v>15</v>
      </c>
      <c r="H31" s="145" t="s">
        <v>232</v>
      </c>
      <c r="I31" s="145"/>
      <c r="J31" s="145"/>
      <c r="K31" s="145"/>
      <c r="L31" s="145"/>
      <c r="M31" s="145"/>
      <c r="N31" s="145"/>
      <c r="O31" s="145"/>
      <c r="P31" s="145"/>
      <c r="Q31" s="145"/>
      <c r="R31" s="145"/>
      <c r="S31" s="145"/>
      <c r="T31" s="145"/>
      <c r="U31" s="145"/>
      <c r="V31" s="145"/>
      <c r="W31" s="145"/>
      <c r="X31" s="145"/>
      <c r="Y31" s="145"/>
      <c r="Z31" s="145"/>
    </row>
    <row r="32" spans="1:26" ht="15.75" x14ac:dyDescent="0.25">
      <c r="A32" s="413" t="s">
        <v>174</v>
      </c>
      <c r="B32" s="395"/>
      <c r="C32" s="395"/>
      <c r="D32" s="395"/>
      <c r="E32" s="395"/>
      <c r="F32" s="169">
        <v>0</v>
      </c>
      <c r="G32" s="145"/>
      <c r="I32" s="145"/>
      <c r="J32" s="145"/>
      <c r="K32" s="145"/>
      <c r="L32" s="145"/>
      <c r="M32" s="145"/>
      <c r="N32" s="145"/>
      <c r="O32" s="145"/>
      <c r="P32" s="145"/>
      <c r="Q32" s="145"/>
      <c r="R32" s="145"/>
      <c r="S32" s="145"/>
      <c r="T32" s="145"/>
      <c r="U32" s="145"/>
      <c r="V32" s="145"/>
      <c r="W32" s="145"/>
      <c r="X32" s="145"/>
      <c r="Y32" s="145"/>
      <c r="Z32" s="145"/>
    </row>
    <row r="33" spans="1:30" ht="15.75" x14ac:dyDescent="0.25">
      <c r="A33" s="413" t="s">
        <v>175</v>
      </c>
      <c r="B33" s="395"/>
      <c r="C33" s="395"/>
      <c r="D33" s="395"/>
      <c r="E33" s="395"/>
      <c r="F33" s="170">
        <v>0</v>
      </c>
      <c r="G33" s="145" t="s">
        <v>37</v>
      </c>
      <c r="H33" s="145"/>
      <c r="I33" s="145"/>
      <c r="J33" s="145"/>
      <c r="K33" s="145"/>
      <c r="L33" s="145"/>
      <c r="M33" s="145"/>
      <c r="N33" s="145"/>
      <c r="O33" s="145"/>
      <c r="P33" s="145"/>
      <c r="Q33" s="145"/>
      <c r="R33" s="145"/>
      <c r="S33" s="145"/>
      <c r="T33" s="145"/>
      <c r="U33" s="145"/>
      <c r="V33" s="145"/>
      <c r="W33" s="145"/>
      <c r="X33" s="145"/>
      <c r="Y33" s="145"/>
      <c r="Z33" s="145"/>
    </row>
    <row r="34" spans="1:30" ht="15.75" x14ac:dyDescent="0.25">
      <c r="A34" s="413" t="s">
        <v>176</v>
      </c>
      <c r="B34" s="395"/>
      <c r="C34" s="395"/>
      <c r="D34" s="395"/>
      <c r="E34" s="395"/>
      <c r="F34" s="171">
        <v>0</v>
      </c>
      <c r="G34" s="145"/>
      <c r="H34" s="145"/>
      <c r="I34" s="145"/>
      <c r="J34" s="145"/>
      <c r="K34" s="145"/>
      <c r="L34" s="145"/>
      <c r="M34" s="145"/>
      <c r="N34" s="145"/>
      <c r="O34" s="145"/>
      <c r="P34" s="145"/>
      <c r="Q34" s="145"/>
      <c r="R34" s="145"/>
      <c r="S34" s="145"/>
      <c r="T34" s="145"/>
      <c r="U34" s="145"/>
      <c r="V34" s="145"/>
      <c r="W34" s="145"/>
      <c r="X34" s="145"/>
      <c r="Y34" s="145"/>
      <c r="Z34" s="145"/>
    </row>
    <row r="35" spans="1:30" ht="15.75" x14ac:dyDescent="0.25">
      <c r="A35" s="412" t="s">
        <v>177</v>
      </c>
      <c r="B35" s="395"/>
      <c r="C35" s="395"/>
      <c r="D35" s="395"/>
      <c r="E35" s="395"/>
      <c r="F35" s="172">
        <f>IFERROR(F32/F33,0)</f>
        <v>0</v>
      </c>
      <c r="G35" s="157" t="s">
        <v>178</v>
      </c>
      <c r="H35" s="145" t="s">
        <v>4</v>
      </c>
      <c r="I35" s="145"/>
      <c r="J35" s="145"/>
      <c r="K35" s="145"/>
      <c r="L35" s="145"/>
      <c r="M35" s="145"/>
      <c r="N35" s="145"/>
      <c r="O35" s="145"/>
      <c r="P35" s="145"/>
      <c r="Q35" s="145"/>
      <c r="R35" s="145"/>
      <c r="S35" s="145"/>
      <c r="T35" s="145"/>
      <c r="U35" s="145"/>
      <c r="V35" s="145"/>
      <c r="W35" s="145"/>
      <c r="X35" s="145"/>
      <c r="Y35" s="145"/>
      <c r="Z35" s="145"/>
    </row>
    <row r="36" spans="1:30" ht="15.75" x14ac:dyDescent="0.25">
      <c r="A36" s="413" t="s">
        <v>23</v>
      </c>
      <c r="B36" s="395"/>
      <c r="C36" s="395"/>
      <c r="D36" s="395"/>
      <c r="E36" s="395"/>
      <c r="F36" s="160">
        <v>0</v>
      </c>
      <c r="G36" s="145"/>
      <c r="H36" s="145" t="s">
        <v>179</v>
      </c>
      <c r="I36" s="145"/>
      <c r="J36" s="145"/>
      <c r="K36" s="145"/>
      <c r="L36" s="145"/>
      <c r="M36" s="145"/>
      <c r="N36" s="145"/>
      <c r="O36" s="145"/>
      <c r="P36" s="145"/>
      <c r="Q36" s="145"/>
      <c r="R36" s="145"/>
      <c r="S36" s="145"/>
      <c r="T36" s="145"/>
      <c r="U36" s="145"/>
      <c r="V36" s="145"/>
      <c r="W36" s="145"/>
      <c r="X36" s="145"/>
      <c r="Y36" s="145"/>
      <c r="Z36" s="145"/>
    </row>
    <row r="37" spans="1:30" ht="15.75" x14ac:dyDescent="0.25">
      <c r="A37" s="414" t="s">
        <v>24</v>
      </c>
      <c r="B37" s="408"/>
      <c r="C37" s="408"/>
      <c r="D37" s="408"/>
      <c r="E37" s="409"/>
      <c r="F37" s="173">
        <v>0.08</v>
      </c>
      <c r="G37" s="145"/>
      <c r="H37" s="145" t="s">
        <v>180</v>
      </c>
      <c r="I37" s="145"/>
      <c r="J37" s="145"/>
      <c r="K37" s="145"/>
      <c r="L37" s="145"/>
      <c r="M37" s="145"/>
      <c r="N37" s="145"/>
      <c r="O37" s="145"/>
      <c r="P37" s="145"/>
      <c r="Q37" s="145"/>
      <c r="R37" s="145"/>
      <c r="S37" s="145"/>
      <c r="T37" s="145"/>
      <c r="U37" s="145"/>
      <c r="V37" s="145"/>
      <c r="W37" s="145"/>
      <c r="X37" s="145"/>
      <c r="Y37" s="145"/>
      <c r="Z37" s="145"/>
    </row>
    <row r="38" spans="1:30" ht="15.75" x14ac:dyDescent="0.25">
      <c r="A38" s="399" t="s">
        <v>231</v>
      </c>
      <c r="B38" s="395"/>
      <c r="C38" s="395"/>
      <c r="D38" s="395"/>
      <c r="E38" s="396"/>
      <c r="F38" s="169">
        <v>30</v>
      </c>
      <c r="G38" s="145" t="s">
        <v>15</v>
      </c>
      <c r="H38" s="145" t="s">
        <v>273</v>
      </c>
      <c r="I38" s="145"/>
      <c r="J38" s="145"/>
      <c r="K38" s="145"/>
      <c r="L38" s="145"/>
      <c r="M38" s="145"/>
      <c r="N38" s="145"/>
      <c r="O38" s="145"/>
      <c r="P38" s="145"/>
      <c r="Q38" s="145"/>
      <c r="R38" s="145"/>
      <c r="S38" s="145"/>
      <c r="T38" s="145"/>
      <c r="U38" s="145"/>
      <c r="V38" s="145"/>
      <c r="W38" s="145"/>
      <c r="X38" s="145"/>
      <c r="Y38" s="145"/>
      <c r="Z38" s="145"/>
    </row>
    <row r="39" spans="1:30" ht="15.75" customHeight="1" x14ac:dyDescent="0.25">
      <c r="A39" s="174"/>
      <c r="B39" s="175"/>
      <c r="C39" s="175"/>
      <c r="D39" s="176"/>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1:30" ht="15.75" x14ac:dyDescent="0.25">
      <c r="A40" s="177" t="s">
        <v>181</v>
      </c>
      <c r="B40" s="145"/>
      <c r="C40" s="145"/>
      <c r="D40" s="145"/>
      <c r="E40" s="145"/>
      <c r="F40" s="145"/>
      <c r="G40" s="145"/>
      <c r="H40" s="178"/>
      <c r="I40" s="145"/>
      <c r="J40" s="145"/>
      <c r="K40" s="145"/>
      <c r="L40" s="145"/>
      <c r="M40" s="145"/>
      <c r="N40" s="145"/>
      <c r="O40" s="145"/>
      <c r="P40" s="145"/>
      <c r="Q40" s="145"/>
      <c r="R40" s="145"/>
      <c r="S40" s="145"/>
      <c r="T40" s="145"/>
      <c r="U40" s="145"/>
      <c r="V40" s="145"/>
      <c r="W40" s="145"/>
      <c r="X40" s="145"/>
      <c r="Y40" s="145"/>
      <c r="Z40" s="145"/>
    </row>
    <row r="41" spans="1:30" ht="15.75" x14ac:dyDescent="0.25">
      <c r="B41" s="145"/>
      <c r="C41" s="145"/>
      <c r="D41" s="145"/>
      <c r="E41" s="145"/>
      <c r="F41" s="145"/>
      <c r="G41" s="145"/>
      <c r="H41" s="178"/>
      <c r="I41" s="145"/>
      <c r="J41" s="145"/>
      <c r="K41" s="145"/>
      <c r="L41" s="145"/>
      <c r="M41" s="145"/>
      <c r="N41" s="145"/>
      <c r="O41" s="145"/>
      <c r="P41" s="145"/>
      <c r="Q41" s="145"/>
      <c r="R41" s="145"/>
      <c r="S41" s="145"/>
      <c r="T41" s="145"/>
      <c r="U41" s="145"/>
      <c r="V41" s="145"/>
      <c r="W41" s="145"/>
      <c r="X41" s="145"/>
      <c r="Y41" s="145"/>
      <c r="Z41" s="145"/>
    </row>
    <row r="42" spans="1:30" ht="15.6" customHeight="1" x14ac:dyDescent="0.25">
      <c r="A42" s="415" t="s">
        <v>182</v>
      </c>
      <c r="B42" s="396"/>
      <c r="C42" s="416" t="s">
        <v>183</v>
      </c>
      <c r="D42" s="396"/>
      <c r="E42" s="417" t="s">
        <v>184</v>
      </c>
      <c r="F42" s="418"/>
      <c r="G42" s="418"/>
      <c r="H42" s="418"/>
      <c r="I42" s="418"/>
      <c r="J42" s="418"/>
      <c r="K42" s="418"/>
      <c r="L42" s="401" t="s">
        <v>185</v>
      </c>
      <c r="M42" s="401"/>
      <c r="N42" s="402"/>
      <c r="P42" s="403" t="s">
        <v>186</v>
      </c>
      <c r="Q42" s="403"/>
      <c r="R42" s="403"/>
      <c r="S42" s="179"/>
      <c r="T42" s="180"/>
      <c r="U42" s="180"/>
      <c r="V42" s="180"/>
      <c r="W42" s="180"/>
      <c r="X42" s="180"/>
      <c r="Y42" s="180"/>
      <c r="Z42" s="180"/>
      <c r="AA42" s="180"/>
      <c r="AB42" s="180"/>
      <c r="AC42" s="180"/>
      <c r="AD42" s="180"/>
    </row>
    <row r="43" spans="1:30" ht="61.5" customHeight="1" x14ac:dyDescent="0.25">
      <c r="A43" s="181" t="s">
        <v>141</v>
      </c>
      <c r="B43" s="181" t="s">
        <v>187</v>
      </c>
      <c r="C43" s="182" t="s">
        <v>188</v>
      </c>
      <c r="D43" s="183" t="s">
        <v>189</v>
      </c>
      <c r="E43" s="184" t="s">
        <v>116</v>
      </c>
      <c r="F43" s="184" t="s">
        <v>190</v>
      </c>
      <c r="G43" s="185" t="s">
        <v>191</v>
      </c>
      <c r="H43" s="184" t="s">
        <v>147</v>
      </c>
      <c r="I43" s="184" t="s">
        <v>148</v>
      </c>
      <c r="J43" s="184" t="s">
        <v>149</v>
      </c>
      <c r="K43" s="185" t="s">
        <v>192</v>
      </c>
      <c r="L43" s="186" t="s">
        <v>193</v>
      </c>
      <c r="M43" s="187" t="s">
        <v>194</v>
      </c>
      <c r="N43" s="181" t="s">
        <v>195</v>
      </c>
      <c r="O43" s="188" t="s">
        <v>196</v>
      </c>
      <c r="P43" s="189" t="s">
        <v>197</v>
      </c>
      <c r="Q43" s="189" t="s">
        <v>198</v>
      </c>
      <c r="R43" s="189" t="s">
        <v>199</v>
      </c>
      <c r="S43" s="190"/>
      <c r="T43" s="191"/>
      <c r="U43" s="191"/>
      <c r="V43" s="191"/>
      <c r="W43" s="191"/>
      <c r="X43" s="191"/>
      <c r="Y43" s="191"/>
      <c r="Z43" s="191"/>
      <c r="AA43" s="191"/>
      <c r="AB43" s="191"/>
    </row>
    <row r="44" spans="1:30" ht="15.75" x14ac:dyDescent="0.25">
      <c r="A44" s="192">
        <v>0</v>
      </c>
      <c r="B44" s="193" t="s">
        <v>4</v>
      </c>
      <c r="C44" s="194" t="s">
        <v>4</v>
      </c>
      <c r="D44" s="195" t="s">
        <v>4</v>
      </c>
      <c r="E44" s="196">
        <f>0</f>
        <v>0</v>
      </c>
      <c r="F44" s="197">
        <f>IF((F33&gt;0),0,$F$31)</f>
        <v>6525</v>
      </c>
      <c r="G44" s="198">
        <v>0</v>
      </c>
      <c r="H44" s="198">
        <f>IF(F32&gt;0,(F32),0)</f>
        <v>0</v>
      </c>
      <c r="I44" s="198">
        <f>IF(OR(H44="",H44=0),0,F31-F32)</f>
        <v>0</v>
      </c>
      <c r="J44" s="199">
        <v>0</v>
      </c>
      <c r="K44" s="200">
        <f>IFERROR(F44+G44+I44+J44,J44)</f>
        <v>6525</v>
      </c>
      <c r="L44" s="201" t="s">
        <v>4</v>
      </c>
      <c r="M44" s="202" t="s">
        <v>4</v>
      </c>
      <c r="N44" s="203" t="s">
        <v>4</v>
      </c>
      <c r="O44" s="316">
        <f>-K44</f>
        <v>-6525</v>
      </c>
      <c r="P44" s="205">
        <f>$O44</f>
        <v>-6525</v>
      </c>
      <c r="Q44" s="206" t="s">
        <v>4</v>
      </c>
      <c r="R44" s="192">
        <f t="shared" ref="R44:R74" si="0">IF(Q44&lt;0,1,0)</f>
        <v>0</v>
      </c>
      <c r="S44" s="207"/>
      <c r="T44" s="150"/>
      <c r="U44" s="145"/>
      <c r="V44" s="145"/>
      <c r="W44" s="145"/>
      <c r="X44" s="145"/>
      <c r="Y44" s="145"/>
      <c r="Z44" s="145"/>
      <c r="AA44" s="145"/>
      <c r="AB44" s="145"/>
      <c r="AC44" s="145"/>
    </row>
    <row r="45" spans="1:30" ht="15.75" x14ac:dyDescent="0.25">
      <c r="A45" s="192">
        <v>1</v>
      </c>
      <c r="B45" s="193">
        <f>F21</f>
        <v>4356</v>
      </c>
      <c r="C45" s="208">
        <f>(F14/100)</f>
        <v>0.14122514999999999</v>
      </c>
      <c r="D45" s="195">
        <f t="shared" ref="D45:D74" si="1">B45*C45</f>
        <v>615.17675339999994</v>
      </c>
      <c r="E45" s="196" t="str">
        <f>IF(OR(H44="",H44=0),"",E44+1)</f>
        <v/>
      </c>
      <c r="F45" s="197" t="str">
        <f>IF(E45="","",$F$35)</f>
        <v/>
      </c>
      <c r="G45" s="198" t="str">
        <f>IF(E45="","",((H44*$F$34)))</f>
        <v/>
      </c>
      <c r="H45" s="198" t="str">
        <f>IFERROR(ROUND(IF(E45="","",($H$44-SUM($F$44:F45))),2),"")</f>
        <v/>
      </c>
      <c r="I45" s="198"/>
      <c r="J45" s="199">
        <f t="shared" ref="J45:J57" si="2">$F$38</f>
        <v>30</v>
      </c>
      <c r="K45" s="200">
        <f>IFERROR(F45+G45+I45+J45,J45)</f>
        <v>30</v>
      </c>
      <c r="L45" s="201">
        <f>F24/100</f>
        <v>0.02</v>
      </c>
      <c r="M45" s="202">
        <f t="shared" ref="M45:M74" si="3">B45*$F$23*L45</f>
        <v>8.7120000000000015</v>
      </c>
      <c r="N45" s="203">
        <f t="shared" ref="N45:N74" si="4">D45*(1-$F$23)+M45</f>
        <v>562.37107805999995</v>
      </c>
      <c r="O45" s="316">
        <f>N45-K45</f>
        <v>532.37107805999995</v>
      </c>
      <c r="P45" s="205">
        <f t="shared" ref="P45:P74" si="5">P44+$O45</f>
        <v>-5992.6289219400005</v>
      </c>
      <c r="Q45" s="209">
        <f>NPV($F$36,O44:O45)</f>
        <v>-5992.6289219400005</v>
      </c>
      <c r="R45" s="192">
        <f t="shared" si="0"/>
        <v>1</v>
      </c>
      <c r="S45" s="207"/>
      <c r="T45" s="150"/>
      <c r="U45" s="145"/>
      <c r="V45" s="145"/>
      <c r="W45" s="145"/>
      <c r="X45" s="145"/>
      <c r="Y45" s="145"/>
      <c r="Z45" s="145"/>
      <c r="AA45" s="145"/>
      <c r="AB45" s="145"/>
      <c r="AC45" s="145"/>
    </row>
    <row r="46" spans="1:30" ht="15.75" x14ac:dyDescent="0.25">
      <c r="A46" s="192">
        <v>2</v>
      </c>
      <c r="B46" s="193">
        <f t="shared" ref="B46:B74" si="6">$F$22*B45+B45</f>
        <v>4334.22</v>
      </c>
      <c r="C46" s="208">
        <f t="shared" ref="C46:C74" si="7">(1+$F$15)*C45</f>
        <v>0.14263740149999998</v>
      </c>
      <c r="D46" s="195">
        <f t="shared" si="1"/>
        <v>618.22187832932991</v>
      </c>
      <c r="E46" s="196" t="str">
        <f>IF(OR(H45="",H45=0),"",E45+1)</f>
        <v/>
      </c>
      <c r="F46" s="197" t="str">
        <f t="shared" ref="F46:F64" si="8">IF(E46="","",$F$35)</f>
        <v/>
      </c>
      <c r="G46" s="198" t="str">
        <f>IF(E46="","",((H45*$F$34)))</f>
        <v/>
      </c>
      <c r="H46" s="198" t="str">
        <f>IFERROR(ROUND(IF(E46="","",($H$44-SUM($F$44:F46))),2),"")</f>
        <v/>
      </c>
      <c r="I46" s="198"/>
      <c r="J46" s="199">
        <f t="shared" si="2"/>
        <v>30</v>
      </c>
      <c r="K46" s="200">
        <f t="shared" ref="K46:K74" si="9">IFERROR(F46+G46+I46+J46,J46)</f>
        <v>30</v>
      </c>
      <c r="L46" s="201">
        <f t="shared" ref="L46:L74" si="10">(1+$F$15)*L45</f>
        <v>2.0199999999999999E-2</v>
      </c>
      <c r="M46" s="202">
        <f t="shared" si="3"/>
        <v>8.7551243999999997</v>
      </c>
      <c r="N46" s="203">
        <f t="shared" si="4"/>
        <v>565.15481489639694</v>
      </c>
      <c r="O46" s="316">
        <f t="shared" ref="O46:O74" si="11">N46-K46</f>
        <v>535.15481489639694</v>
      </c>
      <c r="P46" s="205">
        <f t="shared" si="5"/>
        <v>-5457.4741070436039</v>
      </c>
      <c r="Q46" s="209">
        <f>NPV($F$36,O44:O46)</f>
        <v>-5457.4741070436039</v>
      </c>
      <c r="R46" s="192">
        <f t="shared" si="0"/>
        <v>1</v>
      </c>
      <c r="S46" s="207"/>
      <c r="T46" s="150"/>
      <c r="U46" s="145"/>
      <c r="V46" s="145"/>
      <c r="W46" s="145"/>
      <c r="X46" s="145"/>
      <c r="Y46" s="145"/>
      <c r="Z46" s="145"/>
      <c r="AA46" s="145"/>
      <c r="AB46" s="145"/>
      <c r="AC46" s="145"/>
    </row>
    <row r="47" spans="1:30" ht="15.75" x14ac:dyDescent="0.25">
      <c r="A47" s="192">
        <v>3</v>
      </c>
      <c r="B47" s="193">
        <f t="shared" si="6"/>
        <v>4312.5489000000007</v>
      </c>
      <c r="C47" s="208">
        <f t="shared" si="7"/>
        <v>0.14406377551499999</v>
      </c>
      <c r="D47" s="195">
        <f t="shared" si="1"/>
        <v>621.28207662706029</v>
      </c>
      <c r="E47" s="196" t="str">
        <f t="shared" ref="E47:E64" si="12">IF(OR(H46="",H46=0),"",E46+1)</f>
        <v/>
      </c>
      <c r="F47" s="197" t="str">
        <f t="shared" si="8"/>
        <v/>
      </c>
      <c r="G47" s="198" t="str">
        <f>IF(E47="","",((H46*$F$34)))</f>
        <v/>
      </c>
      <c r="H47" s="198" t="str">
        <f>IFERROR(ROUND(IF(E47="","",($H$44-SUM($F$44:F47))),2),"")</f>
        <v/>
      </c>
      <c r="I47" s="198"/>
      <c r="J47" s="199">
        <f t="shared" si="2"/>
        <v>30</v>
      </c>
      <c r="K47" s="200">
        <f t="shared" si="9"/>
        <v>30</v>
      </c>
      <c r="L47" s="201">
        <f t="shared" si="10"/>
        <v>2.0402E-2</v>
      </c>
      <c r="M47" s="202">
        <f t="shared" si="3"/>
        <v>8.7984622657800013</v>
      </c>
      <c r="N47" s="203">
        <f t="shared" si="4"/>
        <v>567.95233123013429</v>
      </c>
      <c r="O47" s="316">
        <f t="shared" si="11"/>
        <v>537.95233123013429</v>
      </c>
      <c r="P47" s="205">
        <f t="shared" si="5"/>
        <v>-4919.5217758134695</v>
      </c>
      <c r="Q47" s="209">
        <f>NPV($F$36,O44:O47)</f>
        <v>-4919.5217758134695</v>
      </c>
      <c r="R47" s="192">
        <f t="shared" si="0"/>
        <v>1</v>
      </c>
      <c r="S47" s="207"/>
      <c r="T47" s="150"/>
      <c r="U47" s="145"/>
      <c r="V47" s="145"/>
      <c r="W47" s="145"/>
      <c r="X47" s="145"/>
      <c r="Y47" s="145"/>
      <c r="Z47" s="145"/>
      <c r="AA47" s="145"/>
      <c r="AB47" s="145"/>
      <c r="AC47" s="145"/>
    </row>
    <row r="48" spans="1:30" ht="15.75" x14ac:dyDescent="0.25">
      <c r="A48" s="192">
        <v>4</v>
      </c>
      <c r="B48" s="193">
        <f t="shared" si="6"/>
        <v>4290.9861555000007</v>
      </c>
      <c r="C48" s="208">
        <f t="shared" si="7"/>
        <v>0.14550441327014998</v>
      </c>
      <c r="D48" s="195">
        <f t="shared" si="1"/>
        <v>624.35742290636415</v>
      </c>
      <c r="E48" s="196" t="str">
        <f t="shared" si="12"/>
        <v/>
      </c>
      <c r="F48" s="197" t="str">
        <f t="shared" si="8"/>
        <v/>
      </c>
      <c r="G48" s="198" t="str">
        <f t="shared" ref="G48:G64" si="13">IF(E48="","",((H47*$F$34)))</f>
        <v/>
      </c>
      <c r="H48" s="198" t="str">
        <f>IFERROR(ROUND(IF(E48="","",($H$44-SUM($F$44:F48))),2),"")</f>
        <v/>
      </c>
      <c r="I48" s="198"/>
      <c r="J48" s="199">
        <f t="shared" si="2"/>
        <v>30</v>
      </c>
      <c r="K48" s="200">
        <f t="shared" si="9"/>
        <v>30</v>
      </c>
      <c r="L48" s="201">
        <f t="shared" si="10"/>
        <v>2.0606019999999999E-2</v>
      </c>
      <c r="M48" s="202">
        <f t="shared" si="3"/>
        <v>8.8420146539956122</v>
      </c>
      <c r="N48" s="203">
        <f t="shared" si="4"/>
        <v>570.76369526972337</v>
      </c>
      <c r="O48" s="316">
        <f t="shared" si="11"/>
        <v>540.76369526972337</v>
      </c>
      <c r="P48" s="205">
        <f t="shared" si="5"/>
        <v>-4378.7580805437465</v>
      </c>
      <c r="Q48" s="209">
        <f>NPV($F$36,O44:O48)</f>
        <v>-4378.7580805437465</v>
      </c>
      <c r="R48" s="192">
        <f t="shared" si="0"/>
        <v>1</v>
      </c>
      <c r="S48" s="207"/>
      <c r="T48" s="150"/>
      <c r="U48" s="145"/>
      <c r="V48" s="145"/>
      <c r="W48" s="145"/>
      <c r="X48" s="145"/>
      <c r="Y48" s="145"/>
      <c r="Z48" s="145"/>
      <c r="AA48" s="145"/>
      <c r="AB48" s="145"/>
      <c r="AC48" s="145"/>
    </row>
    <row r="49" spans="1:29" ht="15.75" x14ac:dyDescent="0.25">
      <c r="A49" s="192">
        <v>5</v>
      </c>
      <c r="B49" s="193">
        <f t="shared" si="6"/>
        <v>4269.5312247225011</v>
      </c>
      <c r="C49" s="208">
        <f t="shared" si="7"/>
        <v>0.14695945740285149</v>
      </c>
      <c r="D49" s="195">
        <f t="shared" si="1"/>
        <v>627.4479921497508</v>
      </c>
      <c r="E49" s="196" t="str">
        <f t="shared" si="12"/>
        <v/>
      </c>
      <c r="F49" s="197" t="str">
        <f t="shared" si="8"/>
        <v/>
      </c>
      <c r="G49" s="198" t="str">
        <f t="shared" si="13"/>
        <v/>
      </c>
      <c r="H49" s="198" t="str">
        <f>IFERROR(ROUND(IF(E49="","",($H$44-SUM($F$44:F49))),2),"")</f>
        <v/>
      </c>
      <c r="I49" s="198"/>
      <c r="J49" s="199">
        <f t="shared" si="2"/>
        <v>30</v>
      </c>
      <c r="K49" s="200">
        <f t="shared" si="9"/>
        <v>30</v>
      </c>
      <c r="L49" s="201">
        <f t="shared" si="10"/>
        <v>2.0812080199999999E-2</v>
      </c>
      <c r="M49" s="202">
        <f t="shared" si="3"/>
        <v>8.8857826265328921</v>
      </c>
      <c r="N49" s="203">
        <f t="shared" si="4"/>
        <v>573.58897556130864</v>
      </c>
      <c r="O49" s="316">
        <f t="shared" si="11"/>
        <v>543.58897556130864</v>
      </c>
      <c r="P49" s="205">
        <f t="shared" si="5"/>
        <v>-3835.1691049824376</v>
      </c>
      <c r="Q49" s="209">
        <f>NPV($F$36,O44:O49)</f>
        <v>-3835.1691049824376</v>
      </c>
      <c r="R49" s="192">
        <f t="shared" si="0"/>
        <v>1</v>
      </c>
      <c r="S49" s="207"/>
      <c r="T49" s="150"/>
      <c r="U49" s="145"/>
      <c r="V49" s="145"/>
      <c r="W49" s="145"/>
      <c r="X49" s="145"/>
      <c r="Y49" s="145"/>
      <c r="Z49" s="145"/>
      <c r="AA49" s="145"/>
      <c r="AB49" s="145"/>
      <c r="AC49" s="145"/>
    </row>
    <row r="50" spans="1:29" ht="15.75" x14ac:dyDescent="0.25">
      <c r="A50" s="192">
        <v>6</v>
      </c>
      <c r="B50" s="193">
        <f t="shared" si="6"/>
        <v>4248.183568598889</v>
      </c>
      <c r="C50" s="208">
        <f t="shared" si="7"/>
        <v>0.14842905197688</v>
      </c>
      <c r="D50" s="195">
        <f t="shared" si="1"/>
        <v>630.55385971089208</v>
      </c>
      <c r="E50" s="196" t="str">
        <f t="shared" si="12"/>
        <v/>
      </c>
      <c r="F50" s="197" t="str">
        <f t="shared" si="8"/>
        <v/>
      </c>
      <c r="G50" s="198" t="str">
        <f t="shared" si="13"/>
        <v/>
      </c>
      <c r="H50" s="198" t="str">
        <f>IFERROR(ROUND(IF(E50="","",($H$44-SUM($F$44:F50))),2),"")</f>
        <v/>
      </c>
      <c r="I50" s="198"/>
      <c r="J50" s="199">
        <f t="shared" si="2"/>
        <v>30</v>
      </c>
      <c r="K50" s="200">
        <f t="shared" si="9"/>
        <v>30</v>
      </c>
      <c r="L50" s="201">
        <f t="shared" si="10"/>
        <v>2.1020201002E-2</v>
      </c>
      <c r="M50" s="202">
        <f t="shared" si="3"/>
        <v>8.9297672505342298</v>
      </c>
      <c r="N50" s="203">
        <f t="shared" si="4"/>
        <v>576.42824099033714</v>
      </c>
      <c r="O50" s="316">
        <f t="shared" si="11"/>
        <v>546.42824099033714</v>
      </c>
      <c r="P50" s="205">
        <f t="shared" si="5"/>
        <v>-3288.7408639921005</v>
      </c>
      <c r="Q50" s="209">
        <f>NPV($F$36,O44:O50)</f>
        <v>-3288.7408639921005</v>
      </c>
      <c r="R50" s="192">
        <f t="shared" si="0"/>
        <v>1</v>
      </c>
      <c r="S50" s="207"/>
      <c r="T50" s="150"/>
      <c r="U50" s="145"/>
      <c r="V50" s="145"/>
      <c r="W50" s="145"/>
      <c r="X50" s="145"/>
      <c r="Y50" s="145"/>
      <c r="Z50" s="145"/>
      <c r="AA50" s="145"/>
      <c r="AB50" s="145"/>
      <c r="AC50" s="145"/>
    </row>
    <row r="51" spans="1:29" ht="15.75" x14ac:dyDescent="0.25">
      <c r="A51" s="192">
        <v>7</v>
      </c>
      <c r="B51" s="193">
        <f t="shared" si="6"/>
        <v>4226.9426507558946</v>
      </c>
      <c r="C51" s="208">
        <f t="shared" si="7"/>
        <v>0.14991334249664881</v>
      </c>
      <c r="D51" s="195">
        <f t="shared" si="1"/>
        <v>633.675101316461</v>
      </c>
      <c r="E51" s="196" t="str">
        <f t="shared" si="12"/>
        <v/>
      </c>
      <c r="F51" s="197" t="str">
        <f t="shared" si="8"/>
        <v/>
      </c>
      <c r="G51" s="198" t="str">
        <f t="shared" si="13"/>
        <v/>
      </c>
      <c r="H51" s="198" t="str">
        <f>IFERROR(ROUND(IF(E51="","",($H$44-SUM($F$44:F51))),2),"")</f>
        <v/>
      </c>
      <c r="I51" s="198"/>
      <c r="J51" s="199">
        <f t="shared" si="2"/>
        <v>30</v>
      </c>
      <c r="K51" s="200">
        <f t="shared" si="9"/>
        <v>30</v>
      </c>
      <c r="L51" s="201">
        <f t="shared" si="10"/>
        <v>2.1230403012020001E-2</v>
      </c>
      <c r="M51" s="202">
        <f t="shared" si="3"/>
        <v>8.973969598424377</v>
      </c>
      <c r="N51" s="203">
        <f t="shared" si="4"/>
        <v>579.28156078323923</v>
      </c>
      <c r="O51" s="316">
        <f t="shared" si="11"/>
        <v>549.28156078323923</v>
      </c>
      <c r="P51" s="205">
        <f t="shared" si="5"/>
        <v>-2739.4593032088615</v>
      </c>
      <c r="Q51" s="209">
        <f>NPV($F$36,O44:O51)</f>
        <v>-2739.4593032088615</v>
      </c>
      <c r="R51" s="192">
        <f t="shared" si="0"/>
        <v>1</v>
      </c>
      <c r="S51" s="207"/>
      <c r="T51" s="150"/>
      <c r="U51" s="145"/>
      <c r="V51" s="145"/>
      <c r="W51" s="145"/>
      <c r="X51" s="145"/>
      <c r="Y51" s="145"/>
      <c r="Z51" s="145"/>
      <c r="AA51" s="145"/>
      <c r="AB51" s="145"/>
      <c r="AC51" s="145"/>
    </row>
    <row r="52" spans="1:29" ht="15.75" x14ac:dyDescent="0.25">
      <c r="A52" s="192">
        <v>8</v>
      </c>
      <c r="B52" s="193">
        <f t="shared" si="6"/>
        <v>4205.8079375021152</v>
      </c>
      <c r="C52" s="208">
        <f t="shared" si="7"/>
        <v>0.1514124759216153</v>
      </c>
      <c r="D52" s="195">
        <f t="shared" si="1"/>
        <v>636.81179306797753</v>
      </c>
      <c r="E52" s="196" t="str">
        <f t="shared" si="12"/>
        <v/>
      </c>
      <c r="F52" s="197" t="str">
        <f t="shared" si="8"/>
        <v/>
      </c>
      <c r="G52" s="198" t="str">
        <f t="shared" si="13"/>
        <v/>
      </c>
      <c r="H52" s="198" t="str">
        <f>IFERROR(ROUND(IF(E52="","",($H$44-SUM($F$44:F52))),2),"")</f>
        <v/>
      </c>
      <c r="I52" s="198"/>
      <c r="J52" s="199">
        <f t="shared" si="2"/>
        <v>30</v>
      </c>
      <c r="K52" s="200">
        <f t="shared" si="9"/>
        <v>30</v>
      </c>
      <c r="L52" s="201">
        <f t="shared" si="10"/>
        <v>2.1442707042140203E-2</v>
      </c>
      <c r="M52" s="202">
        <f t="shared" si="3"/>
        <v>9.0183907479365786</v>
      </c>
      <c r="N52" s="203">
        <f t="shared" si="4"/>
        <v>582.14900450911637</v>
      </c>
      <c r="O52" s="316">
        <f t="shared" si="11"/>
        <v>552.14900450911637</v>
      </c>
      <c r="P52" s="205">
        <f t="shared" si="5"/>
        <v>-2187.3102986997451</v>
      </c>
      <c r="Q52" s="209">
        <f>NPV($F$36,O44:O52)</f>
        <v>-2187.3102986997451</v>
      </c>
      <c r="R52" s="192">
        <f t="shared" si="0"/>
        <v>1</v>
      </c>
      <c r="S52" s="207"/>
      <c r="T52" s="150"/>
      <c r="U52" s="145"/>
      <c r="V52" s="145"/>
      <c r="W52" s="145"/>
      <c r="X52" s="145"/>
      <c r="Y52" s="145"/>
      <c r="Z52" s="145"/>
      <c r="AA52" s="145"/>
      <c r="AB52" s="145"/>
      <c r="AC52" s="145"/>
    </row>
    <row r="53" spans="1:29" ht="15.75" x14ac:dyDescent="0.25">
      <c r="A53" s="192">
        <v>9</v>
      </c>
      <c r="B53" s="193">
        <f t="shared" si="6"/>
        <v>4184.7788978146045</v>
      </c>
      <c r="C53" s="208">
        <f t="shared" si="7"/>
        <v>0.15292660068083147</v>
      </c>
      <c r="D53" s="195">
        <f t="shared" si="1"/>
        <v>639.96401144366405</v>
      </c>
      <c r="E53" s="196" t="str">
        <f t="shared" si="12"/>
        <v/>
      </c>
      <c r="F53" s="197" t="str">
        <f t="shared" si="8"/>
        <v/>
      </c>
      <c r="G53" s="198" t="str">
        <f t="shared" si="13"/>
        <v/>
      </c>
      <c r="H53" s="198" t="str">
        <f>IFERROR(ROUND(IF(E53="","",($H$44-SUM($F$44:F53))),2),"")</f>
        <v/>
      </c>
      <c r="I53" s="198"/>
      <c r="J53" s="199">
        <f t="shared" si="2"/>
        <v>30</v>
      </c>
      <c r="K53" s="200">
        <f t="shared" si="9"/>
        <v>30</v>
      </c>
      <c r="L53" s="201">
        <f t="shared" si="10"/>
        <v>2.1657134112561604E-2</v>
      </c>
      <c r="M53" s="202">
        <f t="shared" si="3"/>
        <v>9.0630317821388626</v>
      </c>
      <c r="N53" s="203">
        <f t="shared" si="4"/>
        <v>585.03064208143655</v>
      </c>
      <c r="O53" s="316">
        <f t="shared" si="11"/>
        <v>555.03064208143655</v>
      </c>
      <c r="P53" s="205">
        <f t="shared" si="5"/>
        <v>-1632.2796566183085</v>
      </c>
      <c r="Q53" s="209">
        <f>NPV($F$36,O44:O53)</f>
        <v>-1632.2796566183085</v>
      </c>
      <c r="R53" s="192">
        <f t="shared" si="0"/>
        <v>1</v>
      </c>
      <c r="S53" s="207"/>
      <c r="T53" s="150"/>
      <c r="U53" s="145"/>
      <c r="V53" s="145"/>
      <c r="W53" s="145"/>
      <c r="X53" s="145"/>
      <c r="Y53" s="145"/>
      <c r="Z53" s="145"/>
      <c r="AA53" s="145"/>
      <c r="AB53" s="145"/>
      <c r="AC53" s="145"/>
    </row>
    <row r="54" spans="1:29" ht="15.75" x14ac:dyDescent="0.25">
      <c r="A54" s="192">
        <v>10</v>
      </c>
      <c r="B54" s="193">
        <f t="shared" si="6"/>
        <v>4163.8550033255315</v>
      </c>
      <c r="C54" s="208">
        <f t="shared" si="7"/>
        <v>0.15445586668763978</v>
      </c>
      <c r="D54" s="195">
        <f t="shared" si="1"/>
        <v>643.13183330031018</v>
      </c>
      <c r="E54" s="196" t="str">
        <f t="shared" si="12"/>
        <v/>
      </c>
      <c r="F54" s="197" t="str">
        <f t="shared" si="8"/>
        <v/>
      </c>
      <c r="G54" s="198" t="str">
        <f t="shared" si="13"/>
        <v/>
      </c>
      <c r="H54" s="198" t="str">
        <f>IFERROR(ROUND(IF(E54="","",($H$44-SUM($F$44:F54))),2),"")</f>
        <v/>
      </c>
      <c r="I54" s="198"/>
      <c r="J54" s="199">
        <f t="shared" si="2"/>
        <v>30</v>
      </c>
      <c r="K54" s="200">
        <f t="shared" si="9"/>
        <v>30</v>
      </c>
      <c r="L54" s="201">
        <f t="shared" si="10"/>
        <v>2.187370545368722E-2</v>
      </c>
      <c r="M54" s="202">
        <f t="shared" si="3"/>
        <v>9.1078937894604497</v>
      </c>
      <c r="N54" s="203">
        <f t="shared" si="4"/>
        <v>587.92654375973962</v>
      </c>
      <c r="O54" s="316">
        <f t="shared" si="11"/>
        <v>557.92654375973962</v>
      </c>
      <c r="P54" s="205">
        <f t="shared" si="5"/>
        <v>-1074.3531128585689</v>
      </c>
      <c r="Q54" s="209">
        <f>NPV($F$36,O44:O54)</f>
        <v>-1074.3531128585689</v>
      </c>
      <c r="R54" s="192">
        <f t="shared" si="0"/>
        <v>1</v>
      </c>
      <c r="S54" s="207"/>
      <c r="T54" s="150"/>
      <c r="U54" s="145"/>
      <c r="V54" s="145"/>
      <c r="W54" s="145"/>
      <c r="X54" s="145"/>
      <c r="Y54" s="145"/>
      <c r="Z54" s="145"/>
      <c r="AA54" s="145"/>
      <c r="AB54" s="145"/>
      <c r="AC54" s="145"/>
    </row>
    <row r="55" spans="1:29" ht="15.75" x14ac:dyDescent="0.25">
      <c r="A55" s="192">
        <v>11</v>
      </c>
      <c r="B55" s="193">
        <f t="shared" si="6"/>
        <v>4143.0357283089043</v>
      </c>
      <c r="C55" s="208">
        <f t="shared" si="7"/>
        <v>0.15600042535451616</v>
      </c>
      <c r="D55" s="195">
        <f t="shared" si="1"/>
        <v>646.31533587514673</v>
      </c>
      <c r="E55" s="196" t="str">
        <f t="shared" si="12"/>
        <v/>
      </c>
      <c r="F55" s="197" t="str">
        <f t="shared" si="8"/>
        <v/>
      </c>
      <c r="G55" s="198" t="str">
        <f t="shared" si="13"/>
        <v/>
      </c>
      <c r="H55" s="198" t="str">
        <f>IFERROR(ROUND(IF(E55="","",($H$44-SUM($F$44:F55))),2),"")</f>
        <v/>
      </c>
      <c r="I55" s="198"/>
      <c r="J55" s="199">
        <f t="shared" si="2"/>
        <v>30</v>
      </c>
      <c r="K55" s="200">
        <f t="shared" si="9"/>
        <v>30</v>
      </c>
      <c r="L55" s="201">
        <f t="shared" si="10"/>
        <v>2.2092442508224092E-2</v>
      </c>
      <c r="M55" s="202">
        <f t="shared" si="3"/>
        <v>9.1529778637182808</v>
      </c>
      <c r="N55" s="203">
        <f t="shared" si="4"/>
        <v>590.83678015135035</v>
      </c>
      <c r="O55" s="316">
        <f t="shared" si="11"/>
        <v>560.83678015135035</v>
      </c>
      <c r="P55" s="205">
        <f t="shared" si="5"/>
        <v>-513.51633270721857</v>
      </c>
      <c r="Q55" s="209">
        <f>NPV($F$36,O44:O55)</f>
        <v>-513.51633270721857</v>
      </c>
      <c r="R55" s="192">
        <f t="shared" si="0"/>
        <v>1</v>
      </c>
      <c r="S55" s="207"/>
      <c r="T55" s="150"/>
      <c r="U55" s="145"/>
      <c r="V55" s="145"/>
      <c r="W55" s="145"/>
      <c r="X55" s="145"/>
      <c r="Y55" s="145"/>
      <c r="Z55" s="145"/>
      <c r="AA55" s="145"/>
      <c r="AB55" s="145"/>
      <c r="AC55" s="145"/>
    </row>
    <row r="56" spans="1:29" ht="15.75" x14ac:dyDescent="0.25">
      <c r="A56" s="192">
        <v>12</v>
      </c>
      <c r="B56" s="193">
        <f t="shared" si="6"/>
        <v>4122.32054966736</v>
      </c>
      <c r="C56" s="208">
        <f t="shared" si="7"/>
        <v>0.15756042960806133</v>
      </c>
      <c r="D56" s="195">
        <f t="shared" si="1"/>
        <v>649.51459678772869</v>
      </c>
      <c r="E56" s="196" t="str">
        <f t="shared" si="12"/>
        <v/>
      </c>
      <c r="F56" s="197" t="str">
        <f t="shared" si="8"/>
        <v/>
      </c>
      <c r="G56" s="198" t="str">
        <f t="shared" si="13"/>
        <v/>
      </c>
      <c r="H56" s="198" t="str">
        <f>IFERROR(ROUND(IF(E56="","",($H$44-SUM($F$44:F56))),2),"")</f>
        <v/>
      </c>
      <c r="I56" s="198"/>
      <c r="J56" s="199">
        <f t="shared" si="2"/>
        <v>30</v>
      </c>
      <c r="K56" s="200">
        <f t="shared" si="9"/>
        <v>30</v>
      </c>
      <c r="L56" s="201">
        <f t="shared" si="10"/>
        <v>2.2313366933306333E-2</v>
      </c>
      <c r="M56" s="202">
        <f t="shared" si="3"/>
        <v>9.1982851041436859</v>
      </c>
      <c r="N56" s="203">
        <f t="shared" si="4"/>
        <v>593.76142221309954</v>
      </c>
      <c r="O56" s="316">
        <f t="shared" si="11"/>
        <v>563.76142221309954</v>
      </c>
      <c r="P56" s="205">
        <f t="shared" si="5"/>
        <v>50.245089505880969</v>
      </c>
      <c r="Q56" s="209">
        <f>NPV($F$36,O44:O56)</f>
        <v>50.245089505880969</v>
      </c>
      <c r="R56" s="192">
        <f t="shared" si="0"/>
        <v>0</v>
      </c>
      <c r="S56" s="207"/>
      <c r="T56" s="150"/>
      <c r="U56" s="145"/>
      <c r="V56" s="145"/>
      <c r="W56" s="145"/>
      <c r="X56" s="145"/>
      <c r="Y56" s="145"/>
      <c r="Z56" s="145"/>
      <c r="AA56" s="145"/>
      <c r="AB56" s="145"/>
      <c r="AC56" s="145"/>
    </row>
    <row r="57" spans="1:29" ht="15.75" x14ac:dyDescent="0.25">
      <c r="A57" s="192">
        <v>13</v>
      </c>
      <c r="B57" s="193">
        <f t="shared" si="6"/>
        <v>4101.7089469190232</v>
      </c>
      <c r="C57" s="208">
        <f t="shared" si="7"/>
        <v>0.15913603390414194</v>
      </c>
      <c r="D57" s="195">
        <f t="shared" si="1"/>
        <v>652.729694041828</v>
      </c>
      <c r="E57" s="196" t="str">
        <f t="shared" si="12"/>
        <v/>
      </c>
      <c r="F57" s="197" t="str">
        <f t="shared" si="8"/>
        <v/>
      </c>
      <c r="G57" s="198" t="str">
        <f t="shared" si="13"/>
        <v/>
      </c>
      <c r="H57" s="198" t="str">
        <f>IFERROR(ROUND(IF(E57="","",($H$44-SUM($F$44:F57))),2),"")</f>
        <v/>
      </c>
      <c r="I57" s="198"/>
      <c r="J57" s="199">
        <f t="shared" si="2"/>
        <v>30</v>
      </c>
      <c r="K57" s="200">
        <f t="shared" si="9"/>
        <v>30</v>
      </c>
      <c r="L57" s="201">
        <f t="shared" si="10"/>
        <v>2.2536500602639398E-2</v>
      </c>
      <c r="M57" s="202">
        <f t="shared" si="3"/>
        <v>9.2438166154091981</v>
      </c>
      <c r="N57" s="203">
        <f t="shared" si="4"/>
        <v>596.70054125305444</v>
      </c>
      <c r="O57" s="316">
        <f t="shared" si="11"/>
        <v>566.70054125305444</v>
      </c>
      <c r="P57" s="205">
        <f t="shared" si="5"/>
        <v>616.94563075893541</v>
      </c>
      <c r="Q57" s="209">
        <f>NPV($F$36,O44:O57)</f>
        <v>616.94563075893541</v>
      </c>
      <c r="R57" s="192">
        <f t="shared" si="0"/>
        <v>0</v>
      </c>
      <c r="S57" s="207"/>
      <c r="T57" s="150"/>
      <c r="U57" s="145"/>
      <c r="V57" s="145"/>
      <c r="W57" s="145"/>
      <c r="X57" s="145"/>
      <c r="Y57" s="145"/>
      <c r="Z57" s="145"/>
      <c r="AA57" s="145"/>
      <c r="AB57" s="145"/>
      <c r="AC57" s="145"/>
    </row>
    <row r="58" spans="1:29" ht="15.75" x14ac:dyDescent="0.25">
      <c r="A58" s="192">
        <v>14</v>
      </c>
      <c r="B58" s="193">
        <f t="shared" si="6"/>
        <v>4081.2004021844282</v>
      </c>
      <c r="C58" s="208">
        <f t="shared" si="7"/>
        <v>0.16072739424318336</v>
      </c>
      <c r="D58" s="195">
        <f t="shared" si="1"/>
        <v>655.96070602733505</v>
      </c>
      <c r="E58" s="196" t="str">
        <f t="shared" si="12"/>
        <v/>
      </c>
      <c r="F58" s="197" t="str">
        <f t="shared" si="8"/>
        <v/>
      </c>
      <c r="G58" s="198" t="str">
        <f t="shared" si="13"/>
        <v/>
      </c>
      <c r="H58" s="198" t="str">
        <f>IFERROR(ROUND(IF(E58="","",($H$44-SUM($F$44:F58))),2),"")</f>
        <v/>
      </c>
      <c r="I58" s="198"/>
      <c r="J58" s="199">
        <f>$F$38</f>
        <v>30</v>
      </c>
      <c r="K58" s="200">
        <f t="shared" si="9"/>
        <v>30</v>
      </c>
      <c r="L58" s="201">
        <f t="shared" si="10"/>
        <v>2.2761865608665791E-2</v>
      </c>
      <c r="M58" s="202">
        <f t="shared" si="3"/>
        <v>9.289573507655474</v>
      </c>
      <c r="N58" s="203">
        <f t="shared" si="4"/>
        <v>599.65420893225712</v>
      </c>
      <c r="O58" s="316">
        <f t="shared" si="11"/>
        <v>569.65420893225712</v>
      </c>
      <c r="P58" s="205">
        <f t="shared" si="5"/>
        <v>1186.5998396911925</v>
      </c>
      <c r="Q58" s="209">
        <f>NPV($F$36,O44:O58)</f>
        <v>1186.5998396911925</v>
      </c>
      <c r="R58" s="192">
        <f t="shared" si="0"/>
        <v>0</v>
      </c>
      <c r="S58" s="207"/>
      <c r="T58" s="150"/>
      <c r="U58" s="145"/>
      <c r="V58" s="145"/>
      <c r="W58" s="145"/>
      <c r="X58" s="145"/>
      <c r="Y58" s="145"/>
      <c r="Z58" s="145"/>
      <c r="AA58" s="145"/>
      <c r="AB58" s="145"/>
      <c r="AC58" s="145"/>
    </row>
    <row r="59" spans="1:29" ht="15.75" x14ac:dyDescent="0.25">
      <c r="A59" s="192">
        <v>15</v>
      </c>
      <c r="B59" s="193">
        <f t="shared" si="6"/>
        <v>4060.7944001735059</v>
      </c>
      <c r="C59" s="208">
        <f t="shared" si="7"/>
        <v>0.16233466818561521</v>
      </c>
      <c r="D59" s="195">
        <f t="shared" si="1"/>
        <v>659.20771152217037</v>
      </c>
      <c r="E59" s="196" t="str">
        <f t="shared" si="12"/>
        <v/>
      </c>
      <c r="F59" s="197" t="str">
        <f t="shared" si="8"/>
        <v/>
      </c>
      <c r="G59" s="198" t="str">
        <f t="shared" si="13"/>
        <v/>
      </c>
      <c r="H59" s="198" t="str">
        <f>IFERROR(ROUND(IF(E59="","",($H$44-SUM($F$44:F59))),2),"")</f>
        <v/>
      </c>
      <c r="I59" s="198"/>
      <c r="J59" s="199">
        <f>$F$38+F27*F37</f>
        <v>610</v>
      </c>
      <c r="K59" s="200">
        <f t="shared" si="9"/>
        <v>610</v>
      </c>
      <c r="L59" s="201">
        <f t="shared" si="10"/>
        <v>2.298948426475245E-2</v>
      </c>
      <c r="M59" s="202">
        <f t="shared" si="3"/>
        <v>9.3355568965183693</v>
      </c>
      <c r="N59" s="203">
        <f t="shared" si="4"/>
        <v>602.62249726647167</v>
      </c>
      <c r="O59" s="316">
        <f t="shared" si="11"/>
        <v>-7.3775027335283312</v>
      </c>
      <c r="P59" s="205">
        <f t="shared" si="5"/>
        <v>1179.2223369576641</v>
      </c>
      <c r="Q59" s="209">
        <f>NPV($F$36,O44:O59)</f>
        <v>1179.2223369576641</v>
      </c>
      <c r="R59" s="192">
        <f t="shared" si="0"/>
        <v>0</v>
      </c>
      <c r="S59" s="207"/>
      <c r="T59" s="150"/>
      <c r="U59" s="145"/>
      <c r="V59" s="145"/>
      <c r="W59" s="145"/>
      <c r="X59" s="145"/>
      <c r="Y59" s="145"/>
      <c r="Z59" s="145"/>
      <c r="AA59" s="145"/>
      <c r="AB59" s="145"/>
      <c r="AC59" s="145"/>
    </row>
    <row r="60" spans="1:29" ht="15.75" x14ac:dyDescent="0.25">
      <c r="A60" s="192">
        <v>16</v>
      </c>
      <c r="B60" s="193">
        <f t="shared" si="6"/>
        <v>4040.4904281726385</v>
      </c>
      <c r="C60" s="208">
        <f t="shared" si="7"/>
        <v>0.16395801486747136</v>
      </c>
      <c r="D60" s="195">
        <f t="shared" si="1"/>
        <v>662.47078969420522</v>
      </c>
      <c r="E60" s="196" t="str">
        <f t="shared" si="12"/>
        <v/>
      </c>
      <c r="F60" s="197" t="str">
        <f t="shared" si="8"/>
        <v/>
      </c>
      <c r="G60" s="198" t="str">
        <f t="shared" si="13"/>
        <v/>
      </c>
      <c r="H60" s="198" t="str">
        <f>IFERROR(ROUND(IF(E60="","",($H$44-SUM($F$44:F60))),2),"")</f>
        <v/>
      </c>
      <c r="I60" s="198"/>
      <c r="J60" s="199">
        <f t="shared" ref="J60:J74" si="14">$F$38</f>
        <v>30</v>
      </c>
      <c r="K60" s="200">
        <f t="shared" si="9"/>
        <v>30</v>
      </c>
      <c r="L60" s="201">
        <f t="shared" si="10"/>
        <v>2.3219379107399976E-2</v>
      </c>
      <c r="M60" s="202">
        <f t="shared" si="3"/>
        <v>9.3817679031561347</v>
      </c>
      <c r="N60" s="203">
        <f t="shared" si="4"/>
        <v>605.6054786279409</v>
      </c>
      <c r="O60" s="316">
        <f t="shared" si="11"/>
        <v>575.6054786279409</v>
      </c>
      <c r="P60" s="205">
        <f t="shared" si="5"/>
        <v>1754.8278155856051</v>
      </c>
      <c r="Q60" s="209">
        <f>NPV($F$36,O44:O60)</f>
        <v>1754.8278155856051</v>
      </c>
      <c r="R60" s="192">
        <f t="shared" si="0"/>
        <v>0</v>
      </c>
      <c r="S60" s="207"/>
      <c r="T60" s="150"/>
      <c r="U60" s="145"/>
      <c r="V60" s="145"/>
      <c r="W60" s="145"/>
      <c r="X60" s="145"/>
      <c r="Y60" s="145"/>
      <c r="Z60" s="145"/>
      <c r="AA60" s="145"/>
      <c r="AB60" s="145"/>
      <c r="AC60" s="145"/>
    </row>
    <row r="61" spans="1:29" ht="15.75" x14ac:dyDescent="0.25">
      <c r="A61" s="192">
        <v>17</v>
      </c>
      <c r="B61" s="193">
        <f t="shared" si="6"/>
        <v>4020.2879760317755</v>
      </c>
      <c r="C61" s="208">
        <f t="shared" si="7"/>
        <v>0.16559759501614607</v>
      </c>
      <c r="D61" s="195">
        <f t="shared" si="1"/>
        <v>665.75002010319156</v>
      </c>
      <c r="E61" s="196" t="str">
        <f t="shared" si="12"/>
        <v/>
      </c>
      <c r="F61" s="197" t="str">
        <f t="shared" si="8"/>
        <v/>
      </c>
      <c r="G61" s="198" t="str">
        <f t="shared" si="13"/>
        <v/>
      </c>
      <c r="H61" s="198" t="str">
        <f>IFERROR(ROUND(IF(E61="","",($H$44-SUM($F$44:F61))),2),"")</f>
        <v/>
      </c>
      <c r="I61" s="198"/>
      <c r="J61" s="199">
        <f t="shared" si="14"/>
        <v>30</v>
      </c>
      <c r="K61" s="200">
        <f t="shared" si="9"/>
        <v>30</v>
      </c>
      <c r="L61" s="201">
        <f t="shared" si="10"/>
        <v>2.3451572898473976E-2</v>
      </c>
      <c r="M61" s="202">
        <f t="shared" si="3"/>
        <v>9.4282076542767577</v>
      </c>
      <c r="N61" s="203">
        <f t="shared" si="4"/>
        <v>608.60322574714917</v>
      </c>
      <c r="O61" s="316">
        <f t="shared" si="11"/>
        <v>578.60322574714917</v>
      </c>
      <c r="P61" s="205">
        <f t="shared" si="5"/>
        <v>2333.4310413327544</v>
      </c>
      <c r="Q61" s="209">
        <f>NPV($F$36,O44:O61)</f>
        <v>2333.4310413327544</v>
      </c>
      <c r="R61" s="192">
        <f t="shared" si="0"/>
        <v>0</v>
      </c>
      <c r="S61" s="207"/>
      <c r="T61" s="150"/>
      <c r="U61" s="145"/>
      <c r="V61" s="145"/>
      <c r="W61" s="145"/>
      <c r="X61" s="145"/>
      <c r="Y61" s="145"/>
      <c r="Z61" s="145"/>
      <c r="AA61" s="145"/>
      <c r="AB61" s="145"/>
      <c r="AC61" s="145"/>
    </row>
    <row r="62" spans="1:29" ht="15.75" x14ac:dyDescent="0.25">
      <c r="A62" s="192">
        <v>18</v>
      </c>
      <c r="B62" s="193">
        <f t="shared" si="6"/>
        <v>4000.1865361516166</v>
      </c>
      <c r="C62" s="208">
        <f t="shared" si="7"/>
        <v>0.16725357096630752</v>
      </c>
      <c r="D62" s="195">
        <f t="shared" si="1"/>
        <v>669.04548270270232</v>
      </c>
      <c r="E62" s="196" t="str">
        <f t="shared" si="12"/>
        <v/>
      </c>
      <c r="F62" s="197" t="str">
        <f t="shared" si="8"/>
        <v/>
      </c>
      <c r="G62" s="198" t="str">
        <f t="shared" si="13"/>
        <v/>
      </c>
      <c r="H62" s="198" t="str">
        <f>IFERROR(ROUND(IF(E62="","",($H$44-SUM($F$44:F62))),2),"")</f>
        <v/>
      </c>
      <c r="I62" s="198"/>
      <c r="J62" s="199">
        <f t="shared" si="14"/>
        <v>30</v>
      </c>
      <c r="K62" s="200">
        <f t="shared" si="9"/>
        <v>30</v>
      </c>
      <c r="L62" s="201">
        <f t="shared" si="10"/>
        <v>2.3686088627458714E-2</v>
      </c>
      <c r="M62" s="202">
        <f t="shared" si="3"/>
        <v>9.4748772821654281</v>
      </c>
      <c r="N62" s="203">
        <f t="shared" si="4"/>
        <v>611.6158117145975</v>
      </c>
      <c r="O62" s="316">
        <f t="shared" si="11"/>
        <v>581.6158117145975</v>
      </c>
      <c r="P62" s="205">
        <f t="shared" si="5"/>
        <v>2915.0468530473518</v>
      </c>
      <c r="Q62" s="209">
        <f>NPV($F$36,O44:O62)</f>
        <v>2915.0468530473518</v>
      </c>
      <c r="R62" s="192">
        <f t="shared" si="0"/>
        <v>0</v>
      </c>
      <c r="S62" s="207"/>
      <c r="T62" s="150"/>
      <c r="U62" s="145"/>
      <c r="V62" s="145"/>
      <c r="W62" s="145"/>
      <c r="X62" s="145"/>
      <c r="Y62" s="145"/>
      <c r="Z62" s="145"/>
      <c r="AA62" s="145"/>
      <c r="AB62" s="145"/>
      <c r="AC62" s="145"/>
    </row>
    <row r="63" spans="1:29" ht="15.75" x14ac:dyDescent="0.25">
      <c r="A63" s="192">
        <v>19</v>
      </c>
      <c r="B63" s="193">
        <f t="shared" si="6"/>
        <v>3980.1856034708585</v>
      </c>
      <c r="C63" s="208">
        <f t="shared" si="7"/>
        <v>0.16892610667597061</v>
      </c>
      <c r="D63" s="195">
        <f t="shared" si="1"/>
        <v>672.35725784208068</v>
      </c>
      <c r="E63" s="196" t="str">
        <f t="shared" si="12"/>
        <v/>
      </c>
      <c r="F63" s="197" t="str">
        <f t="shared" si="8"/>
        <v/>
      </c>
      <c r="G63" s="198" t="str">
        <f t="shared" si="13"/>
        <v/>
      </c>
      <c r="H63" s="198" t="str">
        <f>IFERROR(ROUND(IF(E63="","",($H$44-SUM($F$44:F63))),2),"")</f>
        <v/>
      </c>
      <c r="I63" s="198"/>
      <c r="J63" s="199">
        <f t="shared" si="14"/>
        <v>30</v>
      </c>
      <c r="K63" s="200">
        <f t="shared" si="9"/>
        <v>30</v>
      </c>
      <c r="L63" s="201">
        <f t="shared" si="10"/>
        <v>2.3922949513733301E-2</v>
      </c>
      <c r="M63" s="202">
        <f t="shared" si="3"/>
        <v>9.521777924712147</v>
      </c>
      <c r="N63" s="203">
        <f t="shared" si="4"/>
        <v>614.64330998258481</v>
      </c>
      <c r="O63" s="316">
        <f t="shared" si="11"/>
        <v>584.64330998258481</v>
      </c>
      <c r="P63" s="205">
        <f t="shared" si="5"/>
        <v>3499.6901630299367</v>
      </c>
      <c r="Q63" s="209">
        <f>NPV($F$36,O44:O63)</f>
        <v>3499.6901630299367</v>
      </c>
      <c r="R63" s="192">
        <f t="shared" si="0"/>
        <v>0</v>
      </c>
      <c r="S63" s="207"/>
      <c r="T63" s="150"/>
      <c r="U63" s="145"/>
      <c r="V63" s="145"/>
      <c r="W63" s="145"/>
      <c r="X63" s="145"/>
      <c r="Y63" s="145"/>
      <c r="Z63" s="145"/>
      <c r="AA63" s="145"/>
      <c r="AB63" s="145"/>
      <c r="AC63" s="145"/>
    </row>
    <row r="64" spans="1:29" ht="15.75" x14ac:dyDescent="0.25">
      <c r="A64" s="192">
        <v>20</v>
      </c>
      <c r="B64" s="193">
        <f t="shared" si="6"/>
        <v>3960.2846754535044</v>
      </c>
      <c r="C64" s="208">
        <f t="shared" si="7"/>
        <v>0.17061536774273031</v>
      </c>
      <c r="D64" s="195">
        <f t="shared" si="1"/>
        <v>675.68542626839906</v>
      </c>
      <c r="E64" s="196" t="str">
        <f t="shared" si="12"/>
        <v/>
      </c>
      <c r="F64" s="197" t="str">
        <f t="shared" si="8"/>
        <v/>
      </c>
      <c r="G64" s="198" t="str">
        <f t="shared" si="13"/>
        <v/>
      </c>
      <c r="H64" s="198" t="str">
        <f>IFERROR(ROUND(IF(E64="","",($H$44-SUM($F$44:F64))),2),"")</f>
        <v/>
      </c>
      <c r="I64" s="198"/>
      <c r="J64" s="199">
        <f t="shared" si="14"/>
        <v>30</v>
      </c>
      <c r="K64" s="200">
        <f t="shared" si="9"/>
        <v>30</v>
      </c>
      <c r="L64" s="201">
        <f t="shared" si="10"/>
        <v>2.4162179008870636E-2</v>
      </c>
      <c r="M64" s="202">
        <f t="shared" si="3"/>
        <v>9.5689107254394727</v>
      </c>
      <c r="N64" s="203">
        <f t="shared" si="4"/>
        <v>617.68579436699861</v>
      </c>
      <c r="O64" s="316">
        <f t="shared" si="11"/>
        <v>587.68579436699861</v>
      </c>
      <c r="P64" s="205">
        <f t="shared" si="5"/>
        <v>4087.3759573969355</v>
      </c>
      <c r="Q64" s="209">
        <f>NPV($F$36,O44:O64)</f>
        <v>4087.3759573969355</v>
      </c>
      <c r="R64" s="192">
        <f t="shared" si="0"/>
        <v>0</v>
      </c>
      <c r="S64" s="207"/>
      <c r="T64" s="150"/>
      <c r="U64" s="145"/>
      <c r="V64" s="145"/>
      <c r="W64" s="145"/>
      <c r="X64" s="145"/>
      <c r="Y64" s="145"/>
      <c r="Z64" s="145"/>
      <c r="AA64" s="145"/>
      <c r="AB64" s="145"/>
      <c r="AC64" s="145"/>
    </row>
    <row r="65" spans="1:29" ht="15.75" x14ac:dyDescent="0.25">
      <c r="A65" s="192">
        <v>21</v>
      </c>
      <c r="B65" s="193">
        <f t="shared" si="6"/>
        <v>3940.483252076237</v>
      </c>
      <c r="C65" s="208">
        <f t="shared" si="7"/>
        <v>0.17232152142015761</v>
      </c>
      <c r="D65" s="195">
        <f t="shared" si="1"/>
        <v>679.03006912842761</v>
      </c>
      <c r="E65" s="196"/>
      <c r="F65" s="197"/>
      <c r="G65" s="198" t="s">
        <v>4</v>
      </c>
      <c r="H65" s="198"/>
      <c r="I65" s="198"/>
      <c r="J65" s="199">
        <f t="shared" si="14"/>
        <v>30</v>
      </c>
      <c r="K65" s="200">
        <f t="shared" si="9"/>
        <v>30</v>
      </c>
      <c r="L65" s="201">
        <f t="shared" si="10"/>
        <v>2.4403800798959343E-2</v>
      </c>
      <c r="M65" s="202">
        <f t="shared" si="3"/>
        <v>9.6162768335303994</v>
      </c>
      <c r="N65" s="203">
        <f t="shared" si="4"/>
        <v>620.74333904911521</v>
      </c>
      <c r="O65" s="316">
        <f t="shared" si="11"/>
        <v>590.74333904911521</v>
      </c>
      <c r="P65" s="205">
        <f t="shared" si="5"/>
        <v>4678.1192964460506</v>
      </c>
      <c r="Q65" s="209">
        <f>NPV($F$36,O44:O65)</f>
        <v>4678.1192964460506</v>
      </c>
      <c r="R65" s="192">
        <f t="shared" si="0"/>
        <v>0</v>
      </c>
      <c r="S65" s="207"/>
      <c r="T65" s="150"/>
      <c r="U65" s="145"/>
      <c r="V65" s="145"/>
      <c r="W65" s="145"/>
      <c r="X65" s="145"/>
      <c r="Y65" s="145"/>
      <c r="Z65" s="145"/>
      <c r="AA65" s="145"/>
      <c r="AB65" s="145"/>
      <c r="AC65" s="145"/>
    </row>
    <row r="66" spans="1:29" ht="15.75" x14ac:dyDescent="0.25">
      <c r="A66" s="192">
        <v>22</v>
      </c>
      <c r="B66" s="193">
        <f t="shared" si="6"/>
        <v>3920.7808358158559</v>
      </c>
      <c r="C66" s="208">
        <f t="shared" si="7"/>
        <v>0.17404473663435918</v>
      </c>
      <c r="D66" s="195">
        <f t="shared" si="1"/>
        <v>682.39126797061328</v>
      </c>
      <c r="E66" s="196"/>
      <c r="F66" s="197"/>
      <c r="G66" s="198" t="s">
        <v>4</v>
      </c>
      <c r="H66" s="198"/>
      <c r="I66" s="198"/>
      <c r="J66" s="199">
        <f t="shared" si="14"/>
        <v>30</v>
      </c>
      <c r="K66" s="200">
        <f t="shared" si="9"/>
        <v>30</v>
      </c>
      <c r="L66" s="201">
        <f t="shared" si="10"/>
        <v>2.4647838806948937E-2</v>
      </c>
      <c r="M66" s="202">
        <f t="shared" si="3"/>
        <v>9.6638774038563735</v>
      </c>
      <c r="N66" s="203">
        <f t="shared" si="4"/>
        <v>623.81601857740839</v>
      </c>
      <c r="O66" s="316">
        <f t="shared" si="11"/>
        <v>593.81601857740839</v>
      </c>
      <c r="P66" s="205">
        <f t="shared" si="5"/>
        <v>5271.9353150234592</v>
      </c>
      <c r="Q66" s="209">
        <f>NPV($F$36,O44:O66)</f>
        <v>5271.9353150234592</v>
      </c>
      <c r="R66" s="192">
        <f t="shared" si="0"/>
        <v>0</v>
      </c>
      <c r="S66" s="207"/>
      <c r="T66" s="150"/>
      <c r="U66" s="145"/>
      <c r="V66" s="145"/>
      <c r="W66" s="145"/>
      <c r="X66" s="145"/>
      <c r="Y66" s="145"/>
      <c r="Z66" s="145"/>
      <c r="AA66" s="145"/>
      <c r="AB66" s="145"/>
      <c r="AC66" s="145"/>
    </row>
    <row r="67" spans="1:29" ht="15.75" x14ac:dyDescent="0.25">
      <c r="A67" s="192">
        <v>23</v>
      </c>
      <c r="B67" s="193">
        <f t="shared" si="6"/>
        <v>3901.1769316367768</v>
      </c>
      <c r="C67" s="208">
        <f t="shared" si="7"/>
        <v>0.17578518400070278</v>
      </c>
      <c r="D67" s="195">
        <f t="shared" si="1"/>
        <v>685.7691047470679</v>
      </c>
      <c r="E67" s="196"/>
      <c r="F67" s="197"/>
      <c r="G67" s="198" t="s">
        <v>4</v>
      </c>
      <c r="H67" s="198"/>
      <c r="I67" s="198"/>
      <c r="J67" s="199">
        <f t="shared" si="14"/>
        <v>30</v>
      </c>
      <c r="K67" s="200">
        <f t="shared" si="9"/>
        <v>30</v>
      </c>
      <c r="L67" s="201">
        <f t="shared" si="10"/>
        <v>2.4894317195018428E-2</v>
      </c>
      <c r="M67" s="202">
        <f t="shared" si="3"/>
        <v>9.7117135970054651</v>
      </c>
      <c r="N67" s="203">
        <f t="shared" si="4"/>
        <v>626.90390786936655</v>
      </c>
      <c r="O67" s="316">
        <f t="shared" si="11"/>
        <v>596.90390786936655</v>
      </c>
      <c r="P67" s="205">
        <f t="shared" si="5"/>
        <v>5868.839222892826</v>
      </c>
      <c r="Q67" s="209">
        <f>NPV($F$36,O44:O67)</f>
        <v>5868.839222892826</v>
      </c>
      <c r="R67" s="192">
        <f t="shared" si="0"/>
        <v>0</v>
      </c>
      <c r="S67" s="207"/>
      <c r="T67" s="150"/>
      <c r="U67" s="145"/>
      <c r="V67" s="145"/>
      <c r="W67" s="145"/>
      <c r="X67" s="145"/>
      <c r="Y67" s="145"/>
      <c r="Z67" s="145"/>
      <c r="AA67" s="145"/>
      <c r="AB67" s="145"/>
      <c r="AC67" s="145"/>
    </row>
    <row r="68" spans="1:29" ht="15.75" x14ac:dyDescent="0.25">
      <c r="A68" s="192">
        <v>24</v>
      </c>
      <c r="B68" s="193">
        <f t="shared" si="6"/>
        <v>3881.671046978593</v>
      </c>
      <c r="C68" s="208">
        <f t="shared" si="7"/>
        <v>0.17754303584070982</v>
      </c>
      <c r="D68" s="195">
        <f t="shared" si="1"/>
        <v>689.163661815566</v>
      </c>
      <c r="E68" s="196"/>
      <c r="F68" s="197"/>
      <c r="G68" s="198" t="s">
        <v>4</v>
      </c>
      <c r="H68" s="198"/>
      <c r="I68" s="198"/>
      <c r="J68" s="199">
        <f t="shared" si="14"/>
        <v>30</v>
      </c>
      <c r="K68" s="200">
        <f t="shared" si="9"/>
        <v>30</v>
      </c>
      <c r="L68" s="201">
        <f t="shared" si="10"/>
        <v>2.5143260366968612E-2</v>
      </c>
      <c r="M68" s="202">
        <f t="shared" si="3"/>
        <v>9.7597865793106422</v>
      </c>
      <c r="N68" s="203">
        <f t="shared" si="4"/>
        <v>630.00708221332013</v>
      </c>
      <c r="O68" s="316">
        <f t="shared" si="11"/>
        <v>600.00708221332013</v>
      </c>
      <c r="P68" s="205">
        <f t="shared" si="5"/>
        <v>6468.8463051061462</v>
      </c>
      <c r="Q68" s="209">
        <f>NPV($F$36,O44:O68)</f>
        <v>6468.8463051061462</v>
      </c>
      <c r="R68" s="192">
        <f t="shared" si="0"/>
        <v>0</v>
      </c>
      <c r="S68" s="207"/>
      <c r="T68" s="150"/>
      <c r="U68" s="145"/>
      <c r="V68" s="145"/>
      <c r="W68" s="145"/>
      <c r="X68" s="145"/>
      <c r="Y68" s="145"/>
      <c r="Z68" s="145"/>
      <c r="AA68" s="145"/>
      <c r="AB68" s="145"/>
      <c r="AC68" s="145"/>
    </row>
    <row r="69" spans="1:29" ht="15.75" x14ac:dyDescent="0.25">
      <c r="A69" s="192">
        <v>25</v>
      </c>
      <c r="B69" s="193">
        <f t="shared" si="6"/>
        <v>3862.2626917437001</v>
      </c>
      <c r="C69" s="208">
        <f t="shared" si="7"/>
        <v>0.17931846619911693</v>
      </c>
      <c r="D69" s="195">
        <f t="shared" si="1"/>
        <v>692.57502194155302</v>
      </c>
      <c r="E69" s="196"/>
      <c r="F69" s="197"/>
      <c r="G69" s="198" t="s">
        <v>4</v>
      </c>
      <c r="H69" s="198"/>
      <c r="I69" s="198"/>
      <c r="J69" s="199">
        <f t="shared" si="14"/>
        <v>30</v>
      </c>
      <c r="K69" s="200">
        <f t="shared" si="9"/>
        <v>30</v>
      </c>
      <c r="L69" s="201">
        <f t="shared" si="10"/>
        <v>2.5394692970638299E-2</v>
      </c>
      <c r="M69" s="202">
        <f t="shared" si="3"/>
        <v>9.8080975228782297</v>
      </c>
      <c r="N69" s="203">
        <f t="shared" si="4"/>
        <v>633.12561727027594</v>
      </c>
      <c r="O69" s="316">
        <f t="shared" si="11"/>
        <v>603.12561727027594</v>
      </c>
      <c r="P69" s="205">
        <f t="shared" si="5"/>
        <v>7071.9719223764223</v>
      </c>
      <c r="Q69" s="209">
        <f>NPV($F$36,O44:O69)</f>
        <v>7071.9719223764223</v>
      </c>
      <c r="R69" s="192">
        <f t="shared" si="0"/>
        <v>0</v>
      </c>
      <c r="S69" s="207"/>
      <c r="T69" s="150"/>
      <c r="U69" s="145"/>
      <c r="V69" s="145"/>
      <c r="W69" s="145"/>
      <c r="X69" s="145"/>
      <c r="Y69" s="145"/>
      <c r="Z69" s="145"/>
      <c r="AA69" s="145"/>
      <c r="AB69" s="145"/>
      <c r="AC69" s="145"/>
    </row>
    <row r="70" spans="1:29" ht="15.75" x14ac:dyDescent="0.25">
      <c r="A70" s="192">
        <v>26</v>
      </c>
      <c r="B70" s="193">
        <f t="shared" si="6"/>
        <v>3842.9513782849817</v>
      </c>
      <c r="C70" s="208">
        <f t="shared" si="7"/>
        <v>0.18111165086110809</v>
      </c>
      <c r="D70" s="195">
        <f t="shared" si="1"/>
        <v>696.00326830016377</v>
      </c>
      <c r="E70" s="196"/>
      <c r="F70" s="197"/>
      <c r="G70" s="198" t="s">
        <v>4</v>
      </c>
      <c r="H70" s="198"/>
      <c r="I70" s="198"/>
      <c r="J70" s="199">
        <f t="shared" si="14"/>
        <v>30</v>
      </c>
      <c r="K70" s="200">
        <f t="shared" si="9"/>
        <v>30</v>
      </c>
      <c r="L70" s="201">
        <f t="shared" si="10"/>
        <v>2.5648639900344682E-2</v>
      </c>
      <c r="M70" s="202">
        <f t="shared" si="3"/>
        <v>9.8566476056164767</v>
      </c>
      <c r="N70" s="203">
        <f t="shared" si="4"/>
        <v>636.25958907576387</v>
      </c>
      <c r="O70" s="316">
        <f t="shared" si="11"/>
        <v>606.25958907576387</v>
      </c>
      <c r="P70" s="205">
        <f t="shared" si="5"/>
        <v>7678.2315114521862</v>
      </c>
      <c r="Q70" s="209">
        <f>NPV($F$36,O44:O70)</f>
        <v>7678.2315114521862</v>
      </c>
      <c r="R70" s="192">
        <f t="shared" si="0"/>
        <v>0</v>
      </c>
      <c r="S70" s="207"/>
      <c r="T70" s="150"/>
      <c r="U70" s="145"/>
      <c r="V70" s="145"/>
      <c r="W70" s="145"/>
      <c r="X70" s="145"/>
      <c r="Y70" s="145"/>
      <c r="Z70" s="145"/>
      <c r="AA70" s="145"/>
      <c r="AB70" s="145"/>
      <c r="AC70" s="145"/>
    </row>
    <row r="71" spans="1:29" ht="15.75" x14ac:dyDescent="0.25">
      <c r="A71" s="192">
        <v>27</v>
      </c>
      <c r="B71" s="193">
        <f t="shared" si="6"/>
        <v>3823.736621393557</v>
      </c>
      <c r="C71" s="208">
        <f t="shared" si="7"/>
        <v>0.18292276736971916</v>
      </c>
      <c r="D71" s="195">
        <f t="shared" si="1"/>
        <v>699.4484844782495</v>
      </c>
      <c r="E71" s="196"/>
      <c r="F71" s="197"/>
      <c r="G71" s="198" t="s">
        <v>4</v>
      </c>
      <c r="H71" s="198"/>
      <c r="I71" s="198"/>
      <c r="J71" s="199">
        <f t="shared" si="14"/>
        <v>30</v>
      </c>
      <c r="K71" s="200">
        <f t="shared" si="9"/>
        <v>30</v>
      </c>
      <c r="L71" s="201">
        <f t="shared" si="10"/>
        <v>2.590512629934813E-2</v>
      </c>
      <c r="M71" s="202">
        <f t="shared" si="3"/>
        <v>9.9054380112642804</v>
      </c>
      <c r="N71" s="203">
        <f t="shared" si="4"/>
        <v>639.40907404168888</v>
      </c>
      <c r="O71" s="316">
        <f t="shared" si="11"/>
        <v>609.40907404168888</v>
      </c>
      <c r="P71" s="205">
        <f t="shared" si="5"/>
        <v>8287.6405854938748</v>
      </c>
      <c r="Q71" s="209">
        <f>NPV($F$36,O44:O71)</f>
        <v>8287.6405854938748</v>
      </c>
      <c r="R71" s="192">
        <f t="shared" si="0"/>
        <v>0</v>
      </c>
      <c r="S71" s="207"/>
      <c r="T71" s="150"/>
      <c r="U71" s="145"/>
      <c r="V71" s="145"/>
      <c r="W71" s="145"/>
      <c r="X71" s="145"/>
      <c r="Y71" s="145"/>
      <c r="Z71" s="145"/>
      <c r="AA71" s="145"/>
      <c r="AB71" s="145"/>
      <c r="AC71" s="145"/>
    </row>
    <row r="72" spans="1:29" ht="15.75" x14ac:dyDescent="0.25">
      <c r="A72" s="192">
        <v>28</v>
      </c>
      <c r="B72" s="193">
        <f t="shared" si="6"/>
        <v>3804.6179382865894</v>
      </c>
      <c r="C72" s="208">
        <f t="shared" si="7"/>
        <v>0.18475199504341636</v>
      </c>
      <c r="D72" s="195">
        <f t="shared" si="1"/>
        <v>702.91075447641697</v>
      </c>
      <c r="E72" s="196"/>
      <c r="F72" s="197"/>
      <c r="G72" s="198" t="s">
        <v>4</v>
      </c>
      <c r="H72" s="198"/>
      <c r="I72" s="198"/>
      <c r="J72" s="199">
        <f t="shared" si="14"/>
        <v>30</v>
      </c>
      <c r="K72" s="200">
        <f t="shared" si="9"/>
        <v>30</v>
      </c>
      <c r="L72" s="201">
        <f t="shared" si="10"/>
        <v>2.6164177562341611E-2</v>
      </c>
      <c r="M72" s="202">
        <f t="shared" si="3"/>
        <v>9.9544699294200392</v>
      </c>
      <c r="N72" s="203">
        <f t="shared" si="4"/>
        <v>642.57414895819534</v>
      </c>
      <c r="O72" s="316">
        <f t="shared" si="11"/>
        <v>612.57414895819534</v>
      </c>
      <c r="P72" s="205">
        <f t="shared" si="5"/>
        <v>8900.2147344520708</v>
      </c>
      <c r="Q72" s="209">
        <f>NPV($F$36,O44:O72)</f>
        <v>8900.2147344520708</v>
      </c>
      <c r="R72" s="210">
        <f t="shared" si="0"/>
        <v>0</v>
      </c>
      <c r="S72" s="207"/>
      <c r="T72" s="150"/>
      <c r="U72" s="145"/>
      <c r="V72" s="145"/>
      <c r="W72" s="145"/>
      <c r="X72" s="145"/>
      <c r="Y72" s="145"/>
      <c r="Z72" s="145"/>
      <c r="AA72" s="145"/>
      <c r="AB72" s="145"/>
      <c r="AC72" s="145"/>
    </row>
    <row r="73" spans="1:29" ht="15.75" x14ac:dyDescent="0.25">
      <c r="A73" s="192">
        <v>29</v>
      </c>
      <c r="B73" s="211">
        <f t="shared" si="6"/>
        <v>3785.5948485951562</v>
      </c>
      <c r="C73" s="212">
        <f t="shared" si="7"/>
        <v>0.18659951499385052</v>
      </c>
      <c r="D73" s="213">
        <f t="shared" si="1"/>
        <v>706.39016271107516</v>
      </c>
      <c r="E73" s="214"/>
      <c r="F73" s="215"/>
      <c r="G73" s="216" t="s">
        <v>4</v>
      </c>
      <c r="H73" s="216"/>
      <c r="I73" s="216"/>
      <c r="J73" s="217">
        <f t="shared" si="14"/>
        <v>30</v>
      </c>
      <c r="K73" s="200">
        <f t="shared" si="9"/>
        <v>30</v>
      </c>
      <c r="L73" s="218">
        <f t="shared" si="10"/>
        <v>2.6425819337965027E-2</v>
      </c>
      <c r="M73" s="219">
        <f t="shared" si="3"/>
        <v>10.003744555570668</v>
      </c>
      <c r="N73" s="220">
        <f t="shared" si="4"/>
        <v>645.75489099553829</v>
      </c>
      <c r="O73" s="316">
        <f t="shared" si="11"/>
        <v>615.75489099553829</v>
      </c>
      <c r="P73" s="221">
        <f t="shared" si="5"/>
        <v>9515.9696254476094</v>
      </c>
      <c r="Q73" s="209">
        <f>NPV($F$36,O44:O73)</f>
        <v>9515.9696254476094</v>
      </c>
      <c r="R73" s="222">
        <f t="shared" si="0"/>
        <v>0</v>
      </c>
      <c r="S73" s="223"/>
      <c r="T73" s="224"/>
      <c r="U73" s="225"/>
      <c r="V73" s="225"/>
      <c r="W73" s="225"/>
      <c r="X73" s="225"/>
      <c r="Y73" s="225"/>
      <c r="Z73" s="225"/>
      <c r="AA73" s="225"/>
      <c r="AB73" s="225"/>
      <c r="AC73" s="225"/>
    </row>
    <row r="74" spans="1:29" ht="15.75" x14ac:dyDescent="0.25">
      <c r="A74" s="192">
        <v>30</v>
      </c>
      <c r="B74" s="211">
        <f t="shared" si="6"/>
        <v>3766.6668743521805</v>
      </c>
      <c r="C74" s="212">
        <f t="shared" si="7"/>
        <v>0.18846551014378904</v>
      </c>
      <c r="D74" s="213">
        <f t="shared" si="1"/>
        <v>709.88679401649506</v>
      </c>
      <c r="E74" s="214"/>
      <c r="F74" s="215"/>
      <c r="G74" s="216" t="s">
        <v>4</v>
      </c>
      <c r="H74" s="216"/>
      <c r="I74" s="216"/>
      <c r="J74" s="217">
        <f t="shared" si="14"/>
        <v>30</v>
      </c>
      <c r="K74" s="200">
        <f t="shared" si="9"/>
        <v>30</v>
      </c>
      <c r="L74" s="218">
        <f t="shared" si="10"/>
        <v>2.6690077531344676E-2</v>
      </c>
      <c r="M74" s="219">
        <f t="shared" si="3"/>
        <v>10.053263091120742</v>
      </c>
      <c r="N74" s="220">
        <f t="shared" si="4"/>
        <v>648.95137770596625</v>
      </c>
      <c r="O74" s="316">
        <f t="shared" si="11"/>
        <v>618.95137770596625</v>
      </c>
      <c r="P74" s="221">
        <f t="shared" si="5"/>
        <v>10134.921003153575</v>
      </c>
      <c r="Q74" s="209">
        <f>NPV($F$36,O44:O74)</f>
        <v>10134.921003153575</v>
      </c>
      <c r="R74" s="222">
        <f t="shared" si="0"/>
        <v>0</v>
      </c>
      <c r="S74" s="223"/>
      <c r="T74" s="224"/>
      <c r="U74" s="225"/>
      <c r="V74" s="225"/>
      <c r="W74" s="225"/>
      <c r="X74" s="225"/>
      <c r="Y74" s="225"/>
      <c r="Z74" s="225"/>
      <c r="AA74" s="225"/>
      <c r="AB74" s="225"/>
      <c r="AC74" s="225"/>
    </row>
    <row r="75" spans="1:29" ht="15.75" x14ac:dyDescent="0.25">
      <c r="A75" s="226" t="s">
        <v>34</v>
      </c>
      <c r="B75" s="227">
        <f>SUM(B44:B74)</f>
        <v>121633.29200391678</v>
      </c>
      <c r="C75" s="228"/>
      <c r="D75" s="229">
        <f>SUM(D44:D74)</f>
        <v>19843.228332702227</v>
      </c>
      <c r="E75" s="230"/>
      <c r="F75" s="230"/>
      <c r="G75" s="231">
        <f>SUM(G44:G74)</f>
        <v>0</v>
      </c>
      <c r="H75" s="231"/>
      <c r="I75" s="231"/>
      <c r="J75" s="232">
        <f>SUM(J44:J74)</f>
        <v>1480</v>
      </c>
      <c r="K75" s="231">
        <f>SUM(K44:K74)</f>
        <v>8005</v>
      </c>
      <c r="L75" s="228"/>
      <c r="M75" s="231">
        <f>SUM(M44:M74)</f>
        <v>281.01550372157129</v>
      </c>
      <c r="N75" s="232">
        <f>SUM(N44:N74)</f>
        <v>18139.921003153569</v>
      </c>
      <c r="O75" s="233"/>
      <c r="P75" s="234"/>
      <c r="Q75" s="235"/>
      <c r="R75" s="236">
        <f>SUM(R44:R73)</f>
        <v>11</v>
      </c>
      <c r="S75" s="224"/>
      <c r="T75" s="224"/>
      <c r="U75" s="225"/>
      <c r="V75" s="225"/>
      <c r="W75" s="225"/>
      <c r="X75" s="225"/>
      <c r="Y75" s="225"/>
      <c r="Z75" s="225"/>
      <c r="AA75" s="225"/>
      <c r="AB75" s="225"/>
      <c r="AC75" s="225"/>
    </row>
    <row r="76" spans="1:29" ht="15.75" x14ac:dyDescent="0.25">
      <c r="A76" s="145"/>
      <c r="B76" s="145"/>
      <c r="C76" s="145"/>
      <c r="D76" s="145"/>
      <c r="E76" s="145"/>
      <c r="F76" s="145"/>
      <c r="G76" s="145"/>
      <c r="H76" s="145"/>
      <c r="I76" s="145"/>
      <c r="J76" s="145"/>
      <c r="K76" s="145"/>
      <c r="L76" s="145"/>
      <c r="M76" s="237"/>
      <c r="N76" s="145"/>
      <c r="O76" s="145"/>
      <c r="P76" s="145"/>
      <c r="Q76" s="145"/>
      <c r="R76" s="145"/>
      <c r="S76" s="145"/>
      <c r="T76" s="145"/>
      <c r="U76" s="145"/>
      <c r="V76" s="145"/>
      <c r="W76" s="145"/>
      <c r="X76" s="145"/>
      <c r="Y76" s="145"/>
      <c r="Z76" s="145"/>
    </row>
    <row r="77" spans="1:29" ht="16.5" thickBot="1" x14ac:dyDescent="0.3">
      <c r="A77" s="238" t="s">
        <v>35</v>
      </c>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9" ht="15.75" x14ac:dyDescent="0.25">
      <c r="A78" s="404" t="s">
        <v>200</v>
      </c>
      <c r="B78" s="405"/>
      <c r="C78" s="405"/>
      <c r="D78" s="406"/>
      <c r="E78" s="239">
        <f>Q74</f>
        <v>10134.921003153575</v>
      </c>
      <c r="F78" s="240" t="s">
        <v>15</v>
      </c>
      <c r="G78" s="145"/>
      <c r="H78" s="145"/>
      <c r="I78" s="145"/>
      <c r="J78" s="145"/>
      <c r="K78" s="145"/>
      <c r="L78" s="145"/>
      <c r="M78" s="145"/>
      <c r="N78" s="145"/>
      <c r="O78" s="145"/>
      <c r="P78" s="145"/>
      <c r="Q78" s="145"/>
      <c r="R78" s="145"/>
      <c r="S78" s="145"/>
      <c r="T78" s="145"/>
      <c r="U78" s="145"/>
      <c r="V78" s="145"/>
      <c r="W78" s="145"/>
      <c r="X78" s="145"/>
      <c r="Y78" s="145"/>
      <c r="Z78" s="145"/>
    </row>
    <row r="79" spans="1:29" ht="15.75" x14ac:dyDescent="0.25">
      <c r="A79" s="407" t="s">
        <v>36</v>
      </c>
      <c r="B79" s="408"/>
      <c r="C79" s="408"/>
      <c r="D79" s="409"/>
      <c r="E79" s="241">
        <f>R75</f>
        <v>11</v>
      </c>
      <c r="F79" s="240" t="s">
        <v>37</v>
      </c>
      <c r="G79" s="145"/>
      <c r="H79" s="145"/>
      <c r="I79" s="145"/>
      <c r="J79" s="145"/>
      <c r="K79" s="145"/>
      <c r="L79" s="145"/>
      <c r="M79" s="145"/>
      <c r="N79" s="145"/>
      <c r="O79" s="145"/>
      <c r="P79" s="145"/>
      <c r="Q79" s="145"/>
      <c r="R79" s="145"/>
      <c r="S79" s="145"/>
      <c r="T79" s="145"/>
      <c r="U79" s="145"/>
      <c r="V79" s="145"/>
      <c r="W79" s="145"/>
      <c r="X79" s="145"/>
      <c r="Y79" s="145"/>
      <c r="Z79" s="145"/>
    </row>
    <row r="80" spans="1:29" ht="15.75" customHeight="1" x14ac:dyDescent="0.25">
      <c r="A80" s="410" t="s">
        <v>38</v>
      </c>
      <c r="B80" s="410"/>
      <c r="C80" s="410"/>
      <c r="D80" s="410"/>
      <c r="E80" s="242">
        <f>IRR(O44:O74,0.1)</f>
        <v>7.3284578157885472E-2</v>
      </c>
      <c r="F80" s="243"/>
      <c r="G80" s="145"/>
      <c r="H80" s="145"/>
      <c r="I80" s="145"/>
      <c r="J80" s="145"/>
      <c r="K80" s="145"/>
      <c r="L80" s="145"/>
      <c r="M80" s="145"/>
      <c r="N80" s="145"/>
      <c r="O80" s="145"/>
      <c r="P80" s="145"/>
      <c r="Q80" s="145"/>
      <c r="R80" s="145"/>
      <c r="S80" s="145"/>
      <c r="T80" s="145"/>
      <c r="U80" s="145"/>
      <c r="V80" s="145"/>
      <c r="W80" s="145"/>
      <c r="X80" s="145"/>
      <c r="Y80" s="145"/>
      <c r="Z80" s="145"/>
    </row>
    <row r="81" spans="1:26" ht="15.75" customHeight="1" x14ac:dyDescent="0.25">
      <c r="A81" s="238" t="s">
        <v>39</v>
      </c>
      <c r="B81" s="244"/>
      <c r="C81" s="244"/>
      <c r="D81" s="245"/>
      <c r="E81" s="246"/>
      <c r="F81" s="243"/>
      <c r="G81" s="145"/>
      <c r="H81" s="145"/>
      <c r="I81" s="145"/>
      <c r="J81" s="145"/>
      <c r="K81" s="145"/>
      <c r="L81" s="145"/>
      <c r="M81" s="145"/>
      <c r="N81" s="145"/>
      <c r="O81" s="145"/>
      <c r="P81" s="145"/>
      <c r="Q81" s="145"/>
      <c r="R81" s="145"/>
      <c r="S81" s="145"/>
      <c r="T81" s="145"/>
      <c r="U81" s="145"/>
      <c r="V81" s="145"/>
      <c r="W81" s="145"/>
      <c r="X81" s="145"/>
      <c r="Y81" s="145"/>
      <c r="Z81" s="145"/>
    </row>
    <row r="82" spans="1:26" ht="15.75" customHeight="1" x14ac:dyDescent="0.25">
      <c r="A82" s="411" t="s">
        <v>40</v>
      </c>
      <c r="B82" s="395"/>
      <c r="C82" s="395"/>
      <c r="D82" s="396"/>
      <c r="E82" s="247">
        <f>K75*100/B75</f>
        <v>6.5812573746192999</v>
      </c>
      <c r="F82" s="248" t="s">
        <v>3</v>
      </c>
      <c r="G82" s="145"/>
      <c r="H82" s="145"/>
      <c r="I82" s="145"/>
      <c r="J82" s="145"/>
      <c r="K82" s="145"/>
      <c r="L82" s="145"/>
      <c r="M82" s="145"/>
      <c r="N82" s="145"/>
      <c r="O82" s="145"/>
      <c r="P82" s="145"/>
      <c r="Q82" s="145"/>
      <c r="R82" s="145"/>
      <c r="S82" s="145"/>
      <c r="T82" s="145"/>
      <c r="U82" s="145"/>
      <c r="V82" s="145"/>
      <c r="W82" s="145"/>
      <c r="X82" s="145"/>
      <c r="Y82" s="145"/>
      <c r="Z82" s="145"/>
    </row>
    <row r="83" spans="1:26" ht="15.75" customHeight="1" x14ac:dyDescent="0.25">
      <c r="A83" s="397" t="s">
        <v>41</v>
      </c>
      <c r="B83" s="395"/>
      <c r="C83" s="395"/>
      <c r="D83" s="396"/>
      <c r="E83" s="249">
        <f>AVERAGE(C44:C74)*100</f>
        <v>16.375005081742302</v>
      </c>
      <c r="F83" s="250" t="s">
        <v>42</v>
      </c>
      <c r="G83" s="145"/>
      <c r="H83" s="145"/>
      <c r="I83" s="145"/>
      <c r="J83" s="145"/>
      <c r="K83" s="145"/>
      <c r="L83" s="145"/>
      <c r="M83" s="145"/>
      <c r="N83" s="145"/>
      <c r="O83" s="145"/>
      <c r="P83" s="145"/>
      <c r="Q83" s="145"/>
      <c r="R83" s="145"/>
      <c r="S83" s="145"/>
      <c r="T83" s="145"/>
      <c r="U83" s="145"/>
      <c r="V83" s="145"/>
      <c r="W83" s="145"/>
      <c r="X83" s="145"/>
      <c r="Y83" s="145"/>
      <c r="Z83" s="145"/>
    </row>
    <row r="84" spans="1:26" ht="15.75" x14ac:dyDescent="0.25">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5.75" x14ac:dyDescent="0.25">
      <c r="A85" s="157" t="s">
        <v>4</v>
      </c>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5.75" x14ac:dyDescent="0.25">
      <c r="A86" s="251" t="s">
        <v>91</v>
      </c>
      <c r="B86" s="252"/>
      <c r="C86" s="252"/>
      <c r="D86" s="252"/>
      <c r="E86" s="252"/>
      <c r="F86" s="252"/>
      <c r="G86" s="252"/>
      <c r="H86" s="252"/>
      <c r="I86" s="252"/>
      <c r="J86" s="145"/>
      <c r="K86" s="145"/>
      <c r="L86" s="145"/>
      <c r="M86" s="145"/>
      <c r="N86" s="145"/>
      <c r="O86" s="145"/>
      <c r="P86" s="145"/>
      <c r="Q86" s="145"/>
      <c r="R86" s="145"/>
      <c r="S86" s="145"/>
      <c r="T86" s="145"/>
      <c r="U86" s="145"/>
      <c r="V86" s="145"/>
      <c r="W86" s="145"/>
      <c r="X86" s="145"/>
      <c r="Y86" s="145"/>
      <c r="Z86" s="145"/>
    </row>
    <row r="87" spans="1:26" ht="15.75" x14ac:dyDescent="0.25">
      <c r="A87" s="398" t="s">
        <v>92</v>
      </c>
      <c r="B87" s="398"/>
      <c r="C87" s="398"/>
      <c r="D87" s="253">
        <v>84</v>
      </c>
      <c r="E87" s="252" t="s">
        <v>93</v>
      </c>
      <c r="F87" s="252" t="s">
        <v>4</v>
      </c>
      <c r="G87" s="252" t="s">
        <v>6</v>
      </c>
      <c r="H87" s="100">
        <v>2024</v>
      </c>
      <c r="I87" s="10" t="s">
        <v>274</v>
      </c>
      <c r="J87" s="145"/>
      <c r="K87" s="145"/>
      <c r="L87" s="145"/>
      <c r="M87" s="145"/>
      <c r="N87" s="145"/>
      <c r="O87" s="145"/>
      <c r="P87" s="145"/>
      <c r="Q87" s="145"/>
      <c r="R87" s="145"/>
      <c r="S87" s="145"/>
      <c r="T87" s="145"/>
      <c r="U87" s="145"/>
      <c r="V87" s="145"/>
      <c r="W87" s="145"/>
      <c r="X87" s="145"/>
      <c r="Y87" s="145"/>
      <c r="Z87" s="145"/>
    </row>
    <row r="88" spans="1:26" ht="15.75" x14ac:dyDescent="0.25">
      <c r="A88" s="398" t="s">
        <v>95</v>
      </c>
      <c r="B88" s="398"/>
      <c r="C88" s="398"/>
      <c r="D88" s="253">
        <v>106</v>
      </c>
      <c r="E88" s="252" t="s">
        <v>93</v>
      </c>
      <c r="F88" s="252"/>
      <c r="G88" s="252" t="s">
        <v>6</v>
      </c>
      <c r="H88" s="100">
        <v>2024</v>
      </c>
      <c r="I88" s="10" t="s">
        <v>274</v>
      </c>
      <c r="J88" s="145"/>
      <c r="K88" s="145"/>
      <c r="L88" s="145"/>
      <c r="M88" s="145"/>
      <c r="N88" s="145"/>
      <c r="O88" s="145"/>
      <c r="P88" s="145"/>
      <c r="Q88" s="145"/>
      <c r="R88" s="145"/>
      <c r="S88" s="145"/>
      <c r="T88" s="145"/>
      <c r="U88" s="145"/>
      <c r="V88" s="145"/>
      <c r="W88" s="145"/>
      <c r="X88" s="145"/>
      <c r="Y88" s="145"/>
      <c r="Z88" s="145"/>
    </row>
    <row r="89" spans="1:26" ht="15.75" x14ac:dyDescent="0.25">
      <c r="A89" s="398" t="s">
        <v>96</v>
      </c>
      <c r="B89" s="398"/>
      <c r="C89" s="398"/>
      <c r="D89" s="254">
        <v>261.72000000000003</v>
      </c>
      <c r="E89" s="252" t="s">
        <v>93</v>
      </c>
      <c r="F89" s="252"/>
      <c r="G89" s="252" t="s">
        <v>6</v>
      </c>
      <c r="H89" s="252">
        <v>2019</v>
      </c>
      <c r="I89" s="10" t="s">
        <v>94</v>
      </c>
      <c r="J89" s="145"/>
      <c r="K89" s="145"/>
      <c r="L89" s="145"/>
      <c r="M89" s="145"/>
      <c r="N89" s="145"/>
      <c r="O89" s="145"/>
      <c r="P89" s="145"/>
      <c r="Q89" s="145"/>
      <c r="R89" s="145"/>
      <c r="S89" s="145"/>
      <c r="T89" s="145"/>
      <c r="U89" s="145"/>
      <c r="V89" s="145"/>
      <c r="W89" s="145"/>
      <c r="X89" s="145"/>
      <c r="Y89" s="145"/>
      <c r="Z89" s="145"/>
    </row>
    <row r="90" spans="1:26" ht="15.75" x14ac:dyDescent="0.25">
      <c r="A90" s="398" t="s">
        <v>97</v>
      </c>
      <c r="B90" s="398"/>
      <c r="C90" s="398"/>
      <c r="D90" s="254">
        <f>(F21*D87)/1000</f>
        <v>365.904</v>
      </c>
      <c r="E90" s="252" t="s">
        <v>98</v>
      </c>
      <c r="F90" s="252" t="s">
        <v>4</v>
      </c>
      <c r="G90" s="252"/>
      <c r="H90" s="252"/>
      <c r="I90" s="252"/>
      <c r="J90" s="145"/>
      <c r="K90" s="145"/>
      <c r="L90" s="145"/>
      <c r="M90" s="145"/>
      <c r="N90" s="145"/>
      <c r="O90" s="145"/>
      <c r="P90" s="145"/>
      <c r="Q90" s="145"/>
      <c r="R90" s="145"/>
      <c r="S90" s="145"/>
      <c r="T90" s="145"/>
      <c r="U90" s="145"/>
      <c r="V90" s="145"/>
      <c r="W90" s="145"/>
      <c r="X90" s="145"/>
      <c r="Y90" s="145"/>
      <c r="Z90" s="145"/>
    </row>
    <row r="91" spans="1:26" ht="15.75" x14ac:dyDescent="0.25">
      <c r="A91" s="398" t="s">
        <v>120</v>
      </c>
      <c r="B91" s="398"/>
      <c r="C91" s="398"/>
      <c r="D91" s="254">
        <f>(F21*D87)/1000-0</f>
        <v>365.904</v>
      </c>
      <c r="E91" s="252" t="s">
        <v>98</v>
      </c>
      <c r="F91" s="252"/>
      <c r="G91" s="252" t="s">
        <v>275</v>
      </c>
      <c r="H91" s="252"/>
      <c r="I91" s="10" t="s">
        <v>276</v>
      </c>
      <c r="J91" s="145"/>
      <c r="K91" s="145"/>
      <c r="L91" s="145"/>
      <c r="M91" s="145"/>
      <c r="N91" s="145"/>
      <c r="O91" s="145"/>
      <c r="P91" s="145"/>
      <c r="Q91" s="145"/>
      <c r="R91" s="145"/>
      <c r="S91" s="145"/>
      <c r="T91" s="145"/>
      <c r="U91" s="145"/>
      <c r="V91" s="145"/>
      <c r="W91" s="145"/>
      <c r="X91" s="145"/>
      <c r="Y91" s="145"/>
      <c r="Z91" s="145"/>
    </row>
    <row r="92" spans="1:26" ht="15.75" x14ac:dyDescent="0.25">
      <c r="A92" s="255" t="s">
        <v>4</v>
      </c>
      <c r="B92" s="225"/>
      <c r="C92" s="225"/>
      <c r="D92" s="22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5.75" x14ac:dyDescent="0.25">
      <c r="A93" s="238"/>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5.75" x14ac:dyDescent="0.25">
      <c r="A94" s="148" t="s">
        <v>201</v>
      </c>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5.75" x14ac:dyDescent="0.25">
      <c r="A95" s="399" t="s">
        <v>11</v>
      </c>
      <c r="B95" s="395"/>
      <c r="C95" s="396"/>
      <c r="D95" s="256">
        <v>4950</v>
      </c>
      <c r="E95" s="155" t="s">
        <v>202</v>
      </c>
      <c r="F95" s="145" t="s">
        <v>203</v>
      </c>
      <c r="G95" s="145"/>
      <c r="H95" s="145"/>
      <c r="I95" s="145"/>
      <c r="J95" s="145"/>
      <c r="K95" s="145"/>
      <c r="L95" s="145"/>
      <c r="M95" s="145"/>
      <c r="N95" s="145"/>
      <c r="O95" s="145"/>
      <c r="P95" s="145"/>
      <c r="Q95" s="145"/>
      <c r="R95" s="145"/>
      <c r="S95" s="145"/>
      <c r="T95" s="145"/>
      <c r="U95" s="145"/>
      <c r="V95" s="145"/>
      <c r="W95" s="145"/>
      <c r="X95" s="145"/>
      <c r="Y95" s="145"/>
      <c r="Z95" s="145"/>
    </row>
    <row r="96" spans="1:26" ht="15.75" x14ac:dyDescent="0.25">
      <c r="A96" s="399" t="s">
        <v>204</v>
      </c>
      <c r="B96" s="395"/>
      <c r="C96" s="396"/>
      <c r="D96" s="161">
        <v>0.13</v>
      </c>
      <c r="E96" s="155" t="s">
        <v>8</v>
      </c>
      <c r="F96" s="145"/>
      <c r="G96" s="145"/>
      <c r="H96" s="145"/>
      <c r="I96" s="145"/>
      <c r="J96" s="145"/>
      <c r="K96" s="145"/>
      <c r="L96" s="145"/>
      <c r="M96" s="145"/>
      <c r="N96" s="145"/>
      <c r="O96" s="145"/>
      <c r="P96" s="145"/>
      <c r="Q96" s="145"/>
      <c r="R96" s="145"/>
      <c r="S96" s="145"/>
      <c r="T96" s="145"/>
      <c r="U96" s="145"/>
      <c r="V96" s="145"/>
      <c r="W96" s="145"/>
      <c r="X96" s="145"/>
      <c r="Y96" s="145"/>
      <c r="Z96" s="145"/>
    </row>
    <row r="97" spans="1:26" ht="15.75" x14ac:dyDescent="0.25">
      <c r="A97" s="399" t="s">
        <v>205</v>
      </c>
      <c r="B97" s="395"/>
      <c r="C97" s="396"/>
      <c r="D97" s="161">
        <v>0.4</v>
      </c>
      <c r="E97" s="145" t="s">
        <v>8</v>
      </c>
      <c r="F97" s="145" t="s">
        <v>206</v>
      </c>
      <c r="G97" s="145"/>
      <c r="H97" s="145"/>
      <c r="I97" s="145"/>
      <c r="J97" s="145"/>
      <c r="K97" s="145"/>
      <c r="L97" s="145"/>
      <c r="M97" s="145"/>
      <c r="N97" s="145"/>
      <c r="O97" s="145"/>
      <c r="P97" s="145"/>
      <c r="Q97" s="145"/>
      <c r="R97" s="145"/>
      <c r="S97" s="145"/>
      <c r="T97" s="145"/>
      <c r="U97" s="145"/>
      <c r="V97" s="145"/>
      <c r="W97" s="145"/>
      <c r="X97" s="145"/>
      <c r="Y97" s="145"/>
      <c r="Z97" s="145"/>
    </row>
    <row r="98" spans="1:26" ht="15.75" x14ac:dyDescent="0.25">
      <c r="A98" s="400" t="s">
        <v>207</v>
      </c>
      <c r="B98" s="395"/>
      <c r="C98" s="396"/>
      <c r="D98" s="192">
        <f>D95/250*1.7</f>
        <v>33.660000000000004</v>
      </c>
      <c r="E98" s="145" t="s">
        <v>14</v>
      </c>
      <c r="F98" s="145"/>
      <c r="G98" s="145"/>
      <c r="H98" s="145"/>
      <c r="I98" s="145"/>
      <c r="J98" s="145"/>
      <c r="K98" s="145"/>
      <c r="L98" s="145"/>
      <c r="M98" s="145"/>
      <c r="N98" s="145"/>
      <c r="O98" s="145"/>
      <c r="P98" s="145"/>
      <c r="Q98" s="145"/>
      <c r="R98" s="145"/>
      <c r="S98" s="145"/>
      <c r="T98" s="145"/>
      <c r="U98" s="145"/>
      <c r="V98" s="145"/>
      <c r="W98" s="145"/>
      <c r="X98" s="145"/>
      <c r="Y98" s="145"/>
      <c r="Z98" s="145"/>
    </row>
    <row r="99" spans="1:26" ht="15.75" x14ac:dyDescent="0.25">
      <c r="A99" s="174"/>
      <c r="B99" s="175"/>
      <c r="C99" s="175"/>
      <c r="D99" s="176"/>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5.75" x14ac:dyDescent="0.25">
      <c r="A100" s="149"/>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05" x14ac:dyDescent="0.25">
      <c r="A101" s="257" t="s">
        <v>208</v>
      </c>
      <c r="B101" s="258" t="s">
        <v>209</v>
      </c>
      <c r="C101" s="258" t="s">
        <v>210</v>
      </c>
      <c r="D101" s="258" t="s">
        <v>211</v>
      </c>
      <c r="E101" s="258" t="s">
        <v>212</v>
      </c>
      <c r="F101" s="258" t="s">
        <v>213</v>
      </c>
      <c r="G101" s="259" t="s">
        <v>214</v>
      </c>
      <c r="H101" s="258" t="s">
        <v>215</v>
      </c>
      <c r="I101" s="258" t="s">
        <v>216</v>
      </c>
      <c r="J101" s="258" t="s">
        <v>217</v>
      </c>
      <c r="K101" s="258" t="s">
        <v>218</v>
      </c>
      <c r="L101" s="258" t="s">
        <v>219</v>
      </c>
      <c r="M101" s="150"/>
      <c r="N101" s="145"/>
      <c r="O101" s="145"/>
      <c r="P101" s="145"/>
      <c r="Q101" s="145"/>
      <c r="R101" s="145"/>
      <c r="S101" s="145"/>
      <c r="T101" s="145"/>
      <c r="U101" s="145"/>
      <c r="V101" s="145"/>
      <c r="W101" s="145"/>
      <c r="X101" s="145"/>
      <c r="Y101" s="145"/>
      <c r="Z101" s="145"/>
    </row>
    <row r="102" spans="1:26" ht="15.75" x14ac:dyDescent="0.25">
      <c r="A102" s="260" t="s">
        <v>62</v>
      </c>
      <c r="B102" s="192">
        <v>31</v>
      </c>
      <c r="C102" s="261">
        <f>0.09*F16</f>
        <v>1107</v>
      </c>
      <c r="D102" s="262">
        <v>0.32</v>
      </c>
      <c r="E102" s="151">
        <f>($F$14*10)</f>
        <v>141.22514999999999</v>
      </c>
      <c r="F102" s="151">
        <f>$F$24*10</f>
        <v>20</v>
      </c>
      <c r="G102" s="263">
        <f t="shared" ref="G102:G113" si="15">D102*B102*$D$98*$D$96</f>
        <v>43.407936000000007</v>
      </c>
      <c r="H102" s="264">
        <f t="shared" ref="H102:H113" si="16">IF(C102*$D$97-G102&gt;0, G102,$D$97*C102)</f>
        <v>43.407936000000007</v>
      </c>
      <c r="I102" s="264">
        <f t="shared" ref="I102:I113" si="17">G102-H102</f>
        <v>0</v>
      </c>
      <c r="J102" s="264">
        <f t="shared" ref="J102:J113" si="18">C102-H102</f>
        <v>1063.5920639999999</v>
      </c>
      <c r="K102" s="208">
        <f t="shared" ref="K102:K113" si="19">G102*E102/1000</f>
        <v>6.1302922727904008</v>
      </c>
      <c r="L102" s="208">
        <f t="shared" ref="L102:L113" si="20">I102*F102/1000</f>
        <v>0</v>
      </c>
      <c r="M102" s="150"/>
      <c r="N102" s="145"/>
      <c r="O102" s="145"/>
      <c r="P102" s="145"/>
      <c r="Q102" s="145"/>
      <c r="R102" s="145"/>
      <c r="S102" s="145"/>
      <c r="T102" s="145"/>
      <c r="U102" s="145"/>
      <c r="V102" s="145"/>
      <c r="W102" s="145"/>
      <c r="X102" s="145"/>
      <c r="Y102" s="145"/>
      <c r="Z102" s="145"/>
    </row>
    <row r="103" spans="1:26" ht="15.75" x14ac:dyDescent="0.25">
      <c r="A103" s="260" t="s">
        <v>63</v>
      </c>
      <c r="B103" s="192">
        <v>28</v>
      </c>
      <c r="C103" s="261">
        <f>0.09*F16</f>
        <v>1107</v>
      </c>
      <c r="D103" s="262">
        <v>1.1000000000000001</v>
      </c>
      <c r="E103" s="151">
        <f t="shared" ref="E103:E113" si="21">($F$14*10)</f>
        <v>141.22514999999999</v>
      </c>
      <c r="F103" s="151">
        <f t="shared" ref="F103:F113" si="22">$F$24*10</f>
        <v>20</v>
      </c>
      <c r="G103" s="263">
        <f t="shared" si="15"/>
        <v>134.77464000000003</v>
      </c>
      <c r="H103" s="264">
        <f t="shared" si="16"/>
        <v>134.77464000000003</v>
      </c>
      <c r="I103" s="264">
        <f t="shared" si="17"/>
        <v>0</v>
      </c>
      <c r="J103" s="264">
        <f t="shared" si="18"/>
        <v>972.22535999999991</v>
      </c>
      <c r="K103" s="208">
        <f t="shared" si="19"/>
        <v>19.033568750196</v>
      </c>
      <c r="L103" s="208">
        <f t="shared" si="20"/>
        <v>0</v>
      </c>
      <c r="M103" s="150"/>
      <c r="N103" s="145"/>
      <c r="O103" s="145"/>
      <c r="P103" s="145"/>
      <c r="Q103" s="145"/>
      <c r="R103" s="145"/>
      <c r="S103" s="145"/>
      <c r="T103" s="145"/>
      <c r="U103" s="145"/>
      <c r="V103" s="145"/>
      <c r="W103" s="145"/>
      <c r="X103" s="145"/>
      <c r="Y103" s="145"/>
      <c r="Z103" s="145"/>
    </row>
    <row r="104" spans="1:26" ht="15.75" x14ac:dyDescent="0.25">
      <c r="A104" s="260" t="s">
        <v>64</v>
      </c>
      <c r="B104" s="192">
        <v>31</v>
      </c>
      <c r="C104" s="261">
        <f>0.084*F16</f>
        <v>1033.2</v>
      </c>
      <c r="D104" s="262">
        <v>2.44</v>
      </c>
      <c r="E104" s="151">
        <f t="shared" si="21"/>
        <v>141.22514999999999</v>
      </c>
      <c r="F104" s="151">
        <f t="shared" si="22"/>
        <v>20</v>
      </c>
      <c r="G104" s="263">
        <f t="shared" si="15"/>
        <v>330.98551200000003</v>
      </c>
      <c r="H104" s="264">
        <f t="shared" si="16"/>
        <v>330.98551200000003</v>
      </c>
      <c r="I104" s="264">
        <f t="shared" si="17"/>
        <v>0</v>
      </c>
      <c r="J104" s="264">
        <f t="shared" si="18"/>
        <v>702.21448800000007</v>
      </c>
      <c r="K104" s="208">
        <f t="shared" si="19"/>
        <v>46.743478580026803</v>
      </c>
      <c r="L104" s="208">
        <f t="shared" si="20"/>
        <v>0</v>
      </c>
      <c r="M104" s="150"/>
      <c r="N104" s="145"/>
      <c r="O104" s="145"/>
      <c r="P104" s="145"/>
      <c r="Q104" s="145"/>
      <c r="R104" s="145"/>
      <c r="S104" s="145"/>
      <c r="T104" s="145"/>
      <c r="U104" s="145"/>
      <c r="V104" s="145"/>
      <c r="W104" s="145"/>
      <c r="X104" s="145"/>
      <c r="Y104" s="145"/>
      <c r="Z104" s="145"/>
    </row>
    <row r="105" spans="1:26" ht="15.75" x14ac:dyDescent="0.25">
      <c r="A105" s="260" t="s">
        <v>65</v>
      </c>
      <c r="B105" s="192">
        <v>30</v>
      </c>
      <c r="C105" s="261">
        <f>0.084*F16</f>
        <v>1033.2</v>
      </c>
      <c r="D105" s="262">
        <v>3.96</v>
      </c>
      <c r="E105" s="151">
        <f t="shared" si="21"/>
        <v>141.22514999999999</v>
      </c>
      <c r="F105" s="151">
        <f t="shared" si="22"/>
        <v>20</v>
      </c>
      <c r="G105" s="263">
        <f t="shared" si="15"/>
        <v>519.84504000000004</v>
      </c>
      <c r="H105" s="264">
        <f t="shared" si="16"/>
        <v>413.28000000000003</v>
      </c>
      <c r="I105" s="264">
        <f t="shared" si="17"/>
        <v>106.56504000000001</v>
      </c>
      <c r="J105" s="264">
        <f t="shared" si="18"/>
        <v>619.92000000000007</v>
      </c>
      <c r="K105" s="208">
        <f t="shared" si="19"/>
        <v>73.415193750755989</v>
      </c>
      <c r="L105" s="208">
        <f t="shared" si="20"/>
        <v>2.1313008</v>
      </c>
      <c r="M105" s="150"/>
      <c r="N105" s="145"/>
      <c r="O105" s="145"/>
      <c r="P105" s="145"/>
      <c r="Q105" s="145"/>
      <c r="R105" s="145"/>
      <c r="S105" s="145"/>
      <c r="T105" s="145"/>
      <c r="U105" s="145"/>
      <c r="V105" s="145"/>
      <c r="W105" s="145"/>
      <c r="X105" s="145"/>
      <c r="Y105" s="145"/>
      <c r="Z105" s="145"/>
    </row>
    <row r="106" spans="1:26" ht="15.75" x14ac:dyDescent="0.25">
      <c r="A106" s="260" t="s">
        <v>66</v>
      </c>
      <c r="B106" s="192">
        <v>31</v>
      </c>
      <c r="C106" s="261">
        <f>0.079*F16</f>
        <v>971.7</v>
      </c>
      <c r="D106" s="262">
        <v>5.41</v>
      </c>
      <c r="E106" s="151">
        <f t="shared" si="21"/>
        <v>141.22514999999999</v>
      </c>
      <c r="F106" s="151">
        <f t="shared" si="22"/>
        <v>20</v>
      </c>
      <c r="G106" s="263">
        <f t="shared" si="15"/>
        <v>733.86541800000009</v>
      </c>
      <c r="H106" s="264">
        <f t="shared" si="16"/>
        <v>388.68000000000006</v>
      </c>
      <c r="I106" s="264">
        <f t="shared" si="17"/>
        <v>345.18541800000003</v>
      </c>
      <c r="J106" s="264">
        <f t="shared" si="18"/>
        <v>583.02</v>
      </c>
      <c r="K106" s="208">
        <f t="shared" si="19"/>
        <v>103.6402537368627</v>
      </c>
      <c r="L106" s="208">
        <f t="shared" si="20"/>
        <v>6.9037083600000004</v>
      </c>
      <c r="M106" s="150"/>
      <c r="N106" s="145"/>
      <c r="O106" s="145"/>
      <c r="P106" s="145"/>
      <c r="Q106" s="145"/>
      <c r="R106" s="145"/>
      <c r="S106" s="145"/>
      <c r="T106" s="145"/>
      <c r="U106" s="145"/>
      <c r="V106" s="145"/>
      <c r="W106" s="145"/>
      <c r="X106" s="145"/>
      <c r="Y106" s="145"/>
      <c r="Z106" s="145"/>
    </row>
    <row r="107" spans="1:26" ht="15.75" x14ac:dyDescent="0.25">
      <c r="A107" s="260" t="s">
        <v>67</v>
      </c>
      <c r="B107" s="192">
        <v>30</v>
      </c>
      <c r="C107" s="261">
        <f>0.07*F16</f>
        <v>861.00000000000011</v>
      </c>
      <c r="D107" s="262">
        <v>5.63</v>
      </c>
      <c r="E107" s="151">
        <f t="shared" si="21"/>
        <v>141.22514999999999</v>
      </c>
      <c r="F107" s="151">
        <f t="shared" si="22"/>
        <v>20</v>
      </c>
      <c r="G107" s="263">
        <f t="shared" si="15"/>
        <v>739.07262000000014</v>
      </c>
      <c r="H107" s="264">
        <f t="shared" si="16"/>
        <v>344.40000000000009</v>
      </c>
      <c r="I107" s="264">
        <f t="shared" si="17"/>
        <v>394.67262000000005</v>
      </c>
      <c r="J107" s="264">
        <f t="shared" si="18"/>
        <v>516.6</v>
      </c>
      <c r="K107" s="208">
        <f t="shared" si="19"/>
        <v>104.37564162039301</v>
      </c>
      <c r="L107" s="208">
        <f t="shared" si="20"/>
        <v>7.893452400000001</v>
      </c>
      <c r="M107" s="150"/>
      <c r="N107" s="145"/>
      <c r="O107" s="145"/>
      <c r="P107" s="145"/>
      <c r="Q107" s="145"/>
      <c r="R107" s="145"/>
      <c r="S107" s="145"/>
      <c r="T107" s="145"/>
      <c r="U107" s="145"/>
      <c r="V107" s="145"/>
      <c r="W107" s="145"/>
      <c r="X107" s="145"/>
      <c r="Y107" s="145"/>
      <c r="Z107" s="145"/>
    </row>
    <row r="108" spans="1:26" ht="15.75" x14ac:dyDescent="0.25">
      <c r="A108" s="260" t="s">
        <v>68</v>
      </c>
      <c r="B108" s="192">
        <v>31</v>
      </c>
      <c r="C108" s="261">
        <f>0.07*F16</f>
        <v>861.00000000000011</v>
      </c>
      <c r="D108" s="262">
        <v>5.6</v>
      </c>
      <c r="E108" s="151">
        <f t="shared" si="21"/>
        <v>141.22514999999999</v>
      </c>
      <c r="F108" s="151">
        <f t="shared" si="22"/>
        <v>20</v>
      </c>
      <c r="G108" s="263">
        <f t="shared" si="15"/>
        <v>759.63888000000009</v>
      </c>
      <c r="H108" s="264">
        <f t="shared" si="16"/>
        <v>344.40000000000009</v>
      </c>
      <c r="I108" s="264">
        <f t="shared" si="17"/>
        <v>415.23887999999999</v>
      </c>
      <c r="J108" s="264">
        <f t="shared" si="18"/>
        <v>516.6</v>
      </c>
      <c r="K108" s="208">
        <f t="shared" si="19"/>
        <v>107.280114773832</v>
      </c>
      <c r="L108" s="208">
        <f t="shared" si="20"/>
        <v>8.3047775999999995</v>
      </c>
      <c r="M108" s="150"/>
      <c r="N108" s="145"/>
      <c r="O108" s="145"/>
      <c r="P108" s="145"/>
      <c r="Q108" s="145"/>
      <c r="R108" s="145"/>
      <c r="S108" s="145"/>
      <c r="T108" s="145"/>
      <c r="U108" s="145"/>
      <c r="V108" s="145"/>
      <c r="W108" s="145"/>
      <c r="X108" s="145"/>
      <c r="Y108" s="145"/>
      <c r="Z108" s="145"/>
    </row>
    <row r="109" spans="1:26" ht="15.75" x14ac:dyDescent="0.25">
      <c r="A109" s="260" t="s">
        <v>69</v>
      </c>
      <c r="B109" s="192">
        <v>31</v>
      </c>
      <c r="C109" s="261">
        <f>0.079*F16</f>
        <v>971.7</v>
      </c>
      <c r="D109" s="262">
        <v>4.09</v>
      </c>
      <c r="E109" s="151">
        <f t="shared" si="21"/>
        <v>141.22514999999999</v>
      </c>
      <c r="F109" s="151">
        <f t="shared" si="22"/>
        <v>20</v>
      </c>
      <c r="G109" s="263">
        <f t="shared" si="15"/>
        <v>554.807682</v>
      </c>
      <c r="H109" s="264">
        <f t="shared" si="16"/>
        <v>388.68000000000006</v>
      </c>
      <c r="I109" s="264">
        <f t="shared" si="17"/>
        <v>166.12768199999994</v>
      </c>
      <c r="J109" s="264">
        <f t="shared" si="18"/>
        <v>583.02</v>
      </c>
      <c r="K109" s="208">
        <f t="shared" si="19"/>
        <v>78.352798111602283</v>
      </c>
      <c r="L109" s="208">
        <f t="shared" si="20"/>
        <v>3.3225536399999989</v>
      </c>
      <c r="M109" s="150"/>
      <c r="N109" s="145"/>
      <c r="O109" s="145"/>
      <c r="P109" s="145"/>
      <c r="Q109" s="145"/>
      <c r="R109" s="145"/>
      <c r="S109" s="145"/>
      <c r="T109" s="145"/>
      <c r="U109" s="145"/>
      <c r="V109" s="145"/>
      <c r="W109" s="145"/>
      <c r="X109" s="145"/>
      <c r="Y109" s="145"/>
      <c r="Z109" s="145"/>
    </row>
    <row r="110" spans="1:26" ht="15.75" x14ac:dyDescent="0.25">
      <c r="A110" s="260" t="s">
        <v>70</v>
      </c>
      <c r="B110" s="192">
        <v>30</v>
      </c>
      <c r="C110" s="261">
        <f>0.084*F16</f>
        <v>1033.2</v>
      </c>
      <c r="D110" s="262">
        <v>2.54</v>
      </c>
      <c r="E110" s="151">
        <f t="shared" si="21"/>
        <v>141.22514999999999</v>
      </c>
      <c r="F110" s="151">
        <f t="shared" si="22"/>
        <v>20</v>
      </c>
      <c r="G110" s="263">
        <f t="shared" si="15"/>
        <v>333.43596000000002</v>
      </c>
      <c r="H110" s="264">
        <f t="shared" si="16"/>
        <v>333.43596000000002</v>
      </c>
      <c r="I110" s="264">
        <f t="shared" si="17"/>
        <v>0</v>
      </c>
      <c r="J110" s="264">
        <f t="shared" si="18"/>
        <v>699.76404000000002</v>
      </c>
      <c r="K110" s="208">
        <f t="shared" si="19"/>
        <v>47.089543466393998</v>
      </c>
      <c r="L110" s="208">
        <f t="shared" si="20"/>
        <v>0</v>
      </c>
      <c r="M110" s="150"/>
      <c r="N110" s="145"/>
      <c r="O110" s="145"/>
      <c r="P110" s="145"/>
      <c r="Q110" s="145"/>
      <c r="R110" s="145"/>
      <c r="S110" s="145"/>
      <c r="T110" s="145"/>
      <c r="U110" s="145"/>
      <c r="V110" s="145"/>
      <c r="W110" s="145"/>
      <c r="X110" s="145"/>
      <c r="Y110" s="145"/>
      <c r="Z110" s="145"/>
    </row>
    <row r="111" spans="1:26" ht="15.75" x14ac:dyDescent="0.25">
      <c r="A111" s="260" t="s">
        <v>71</v>
      </c>
      <c r="B111" s="192">
        <v>31</v>
      </c>
      <c r="C111" s="261">
        <f>0.09*F16</f>
        <v>1107</v>
      </c>
      <c r="D111" s="262">
        <v>1.18</v>
      </c>
      <c r="E111" s="151">
        <f t="shared" si="21"/>
        <v>141.22514999999999</v>
      </c>
      <c r="F111" s="151">
        <f t="shared" si="22"/>
        <v>20</v>
      </c>
      <c r="G111" s="263">
        <f t="shared" si="15"/>
        <v>160.06676400000003</v>
      </c>
      <c r="H111" s="264">
        <f t="shared" si="16"/>
        <v>160.06676400000003</v>
      </c>
      <c r="I111" s="264">
        <f t="shared" si="17"/>
        <v>0</v>
      </c>
      <c r="J111" s="264">
        <f t="shared" si="18"/>
        <v>946.93323599999997</v>
      </c>
      <c r="K111" s="208">
        <f t="shared" si="19"/>
        <v>22.605452755914602</v>
      </c>
      <c r="L111" s="208">
        <f t="shared" si="20"/>
        <v>0</v>
      </c>
      <c r="M111" s="150"/>
      <c r="N111" s="145"/>
      <c r="O111" s="145"/>
      <c r="P111" s="145"/>
      <c r="Q111" s="145"/>
      <c r="R111" s="145"/>
      <c r="S111" s="145"/>
      <c r="T111" s="145"/>
      <c r="U111" s="145"/>
      <c r="V111" s="145"/>
      <c r="W111" s="145"/>
      <c r="X111" s="145"/>
      <c r="Y111" s="145"/>
      <c r="Z111" s="145"/>
    </row>
    <row r="112" spans="1:26" ht="15.75" x14ac:dyDescent="0.25">
      <c r="A112" s="260" t="s">
        <v>72</v>
      </c>
      <c r="B112" s="192">
        <v>30</v>
      </c>
      <c r="C112" s="261">
        <f>0.09*F16</f>
        <v>1107</v>
      </c>
      <c r="D112" s="262">
        <v>0.5</v>
      </c>
      <c r="E112" s="151">
        <f t="shared" si="21"/>
        <v>141.22514999999999</v>
      </c>
      <c r="F112" s="151">
        <f t="shared" si="22"/>
        <v>20</v>
      </c>
      <c r="G112" s="263">
        <f t="shared" si="15"/>
        <v>65.637</v>
      </c>
      <c r="H112" s="264">
        <f t="shared" si="16"/>
        <v>65.637</v>
      </c>
      <c r="I112" s="264">
        <f t="shared" si="17"/>
        <v>0</v>
      </c>
      <c r="J112" s="264">
        <f t="shared" si="18"/>
        <v>1041.3630000000001</v>
      </c>
      <c r="K112" s="208">
        <f t="shared" si="19"/>
        <v>9.2695951705499997</v>
      </c>
      <c r="L112" s="208">
        <f t="shared" si="20"/>
        <v>0</v>
      </c>
      <c r="M112" s="150"/>
      <c r="N112" s="145"/>
      <c r="O112" s="145"/>
      <c r="P112" s="145"/>
      <c r="Q112" s="145"/>
      <c r="R112" s="145"/>
      <c r="S112" s="145"/>
      <c r="T112" s="145"/>
      <c r="U112" s="145"/>
      <c r="V112" s="145"/>
      <c r="W112" s="145"/>
      <c r="X112" s="145"/>
      <c r="Y112" s="145"/>
      <c r="Z112" s="145"/>
    </row>
    <row r="113" spans="1:26" ht="15.75" x14ac:dyDescent="0.25">
      <c r="A113" s="260" t="s">
        <v>73</v>
      </c>
      <c r="B113" s="192">
        <v>31</v>
      </c>
      <c r="C113" s="261">
        <f>0.09*F16</f>
        <v>1107</v>
      </c>
      <c r="D113" s="262">
        <v>0.2</v>
      </c>
      <c r="E113" s="151">
        <f t="shared" si="21"/>
        <v>141.22514999999999</v>
      </c>
      <c r="F113" s="151">
        <f t="shared" si="22"/>
        <v>20</v>
      </c>
      <c r="G113" s="263">
        <f t="shared" si="15"/>
        <v>27.129960000000004</v>
      </c>
      <c r="H113" s="264">
        <f t="shared" si="16"/>
        <v>27.129960000000004</v>
      </c>
      <c r="I113" s="264">
        <f t="shared" si="17"/>
        <v>0</v>
      </c>
      <c r="J113" s="264">
        <f t="shared" si="18"/>
        <v>1079.87004</v>
      </c>
      <c r="K113" s="208">
        <f t="shared" si="19"/>
        <v>3.8314326704940003</v>
      </c>
      <c r="L113" s="208">
        <f t="shared" si="20"/>
        <v>0</v>
      </c>
      <c r="M113" s="150"/>
      <c r="N113" s="145"/>
      <c r="O113" s="145"/>
      <c r="P113" s="145"/>
      <c r="Q113" s="145"/>
      <c r="R113" s="145"/>
      <c r="S113" s="145"/>
      <c r="T113" s="145"/>
      <c r="U113" s="145"/>
      <c r="V113" s="145"/>
      <c r="W113" s="145"/>
      <c r="X113" s="145"/>
      <c r="Y113" s="145"/>
      <c r="Z113" s="145"/>
    </row>
    <row r="114" spans="1:26" ht="15.75" x14ac:dyDescent="0.25">
      <c r="A114" s="265" t="s">
        <v>220</v>
      </c>
      <c r="B114" s="264">
        <f t="shared" ref="B114:C114" si="23">SUM(B102:B113)</f>
        <v>365</v>
      </c>
      <c r="C114" s="257">
        <f t="shared" si="23"/>
        <v>12300</v>
      </c>
      <c r="D114" s="192"/>
      <c r="E114" s="145"/>
      <c r="F114" s="145"/>
      <c r="G114" s="266">
        <f t="shared" ref="G114:L114" si="24">SUM(G102:G113)</f>
        <v>4402.6674120000007</v>
      </c>
      <c r="H114" s="267">
        <f t="shared" si="24"/>
        <v>2974.8777720000012</v>
      </c>
      <c r="I114" s="268">
        <f t="shared" si="24"/>
        <v>1427.78964</v>
      </c>
      <c r="J114" s="268">
        <f t="shared" si="24"/>
        <v>9325.1222280000002</v>
      </c>
      <c r="K114" s="269">
        <f t="shared" si="24"/>
        <v>621.76736565981184</v>
      </c>
      <c r="L114" s="269">
        <f t="shared" si="24"/>
        <v>28.555792800000003</v>
      </c>
      <c r="M114" s="150"/>
      <c r="N114" s="145"/>
      <c r="O114" s="145"/>
      <c r="P114" s="145"/>
      <c r="Q114" s="145"/>
      <c r="R114" s="145"/>
      <c r="S114" s="145"/>
      <c r="T114" s="145"/>
      <c r="U114" s="145"/>
      <c r="V114" s="145"/>
      <c r="W114" s="145"/>
      <c r="X114" s="145"/>
      <c r="Y114" s="145"/>
      <c r="Z114" s="145"/>
    </row>
    <row r="115" spans="1:26" ht="15.75" x14ac:dyDescent="0.25">
      <c r="A115" s="270"/>
      <c r="B115" s="271"/>
      <c r="C115" s="145" t="s">
        <v>4</v>
      </c>
      <c r="D115" s="145"/>
      <c r="E115" s="272"/>
      <c r="F115" s="272"/>
      <c r="G115" s="272"/>
      <c r="H115" s="145"/>
      <c r="I115" s="145"/>
      <c r="J115" s="237"/>
      <c r="K115" s="273"/>
      <c r="L115" s="273"/>
      <c r="M115" s="274"/>
      <c r="N115" s="145"/>
      <c r="O115" s="145"/>
      <c r="P115" s="145"/>
      <c r="Q115" s="145"/>
      <c r="R115" s="145"/>
      <c r="S115" s="145"/>
      <c r="T115" s="145"/>
      <c r="U115" s="145"/>
      <c r="V115" s="145"/>
      <c r="W115" s="145"/>
      <c r="X115" s="145"/>
      <c r="Y115" s="145"/>
      <c r="Z115" s="145"/>
    </row>
    <row r="116" spans="1:26" ht="15.75" x14ac:dyDescent="0.25">
      <c r="A116" s="394" t="s">
        <v>221</v>
      </c>
      <c r="B116" s="395"/>
      <c r="C116" s="396"/>
      <c r="D116" s="275">
        <f>G114</f>
        <v>4402.6674120000007</v>
      </c>
      <c r="E116" s="145" t="s">
        <v>10</v>
      </c>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5.75" x14ac:dyDescent="0.25">
      <c r="A117" s="394" t="s">
        <v>222</v>
      </c>
      <c r="B117" s="395"/>
      <c r="C117" s="396"/>
      <c r="D117" s="276">
        <f>I114/G114</f>
        <v>0.32430104443237917</v>
      </c>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5.75" x14ac:dyDescent="0.25">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5.75" x14ac:dyDescent="0.25">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5.75" x14ac:dyDescent="0.25">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5.75" x14ac:dyDescent="0.25">
      <c r="A121" s="157" t="s">
        <v>223</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5.75" x14ac:dyDescent="0.25">
      <c r="A122" s="157" t="s">
        <v>224</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5.75" x14ac:dyDescent="0.25">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5.75" x14ac:dyDescent="0.25">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5.75" x14ac:dyDescent="0.25">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5.75" x14ac:dyDescent="0.25">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5.75" x14ac:dyDescent="0.25">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5.75" x14ac:dyDescent="0.25">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5.75" x14ac:dyDescent="0.25">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5.75" x14ac:dyDescent="0.25">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5.75" x14ac:dyDescent="0.25">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5.75" x14ac:dyDescent="0.25">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5.75" x14ac:dyDescent="0.25">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5.75" x14ac:dyDescent="0.25">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5.75" x14ac:dyDescent="0.25">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5.75" x14ac:dyDescent="0.25">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5.75" x14ac:dyDescent="0.25">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5.75" x14ac:dyDescent="0.25">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5.75" x14ac:dyDescent="0.25">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5.75" x14ac:dyDescent="0.25">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5.75" x14ac:dyDescent="0.25">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5.75" x14ac:dyDescent="0.25">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5.75" x14ac:dyDescent="0.25">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5.75" x14ac:dyDescent="0.25">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5.75" x14ac:dyDescent="0.25">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5.75" x14ac:dyDescent="0.25">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5.75" x14ac:dyDescent="0.25">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5.75" x14ac:dyDescent="0.25">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5.75" x14ac:dyDescent="0.25">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5.75" x14ac:dyDescent="0.25">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5.75" x14ac:dyDescent="0.25">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5.75" x14ac:dyDescent="0.25">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5.75" x14ac:dyDescent="0.25">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5.75" x14ac:dyDescent="0.25">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5.75" x14ac:dyDescent="0.25">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5.75" x14ac:dyDescent="0.25">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5.75" x14ac:dyDescent="0.25">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5.75" x14ac:dyDescent="0.25">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5.75" x14ac:dyDescent="0.25">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5.75" x14ac:dyDescent="0.25">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5.75" x14ac:dyDescent="0.25">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5.75" x14ac:dyDescent="0.25">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5.75" x14ac:dyDescent="0.25">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5.75" x14ac:dyDescent="0.25">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5.75" x14ac:dyDescent="0.25">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5.75" x14ac:dyDescent="0.25">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5.75" x14ac:dyDescent="0.25">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5.75" x14ac:dyDescent="0.25">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5.75" x14ac:dyDescent="0.25">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5.75" x14ac:dyDescent="0.25">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5.75" x14ac:dyDescent="0.25">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5.75" x14ac:dyDescent="0.25">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5.75" x14ac:dyDescent="0.25">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5.75" x14ac:dyDescent="0.25">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5.75" x14ac:dyDescent="0.25">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5.75" x14ac:dyDescent="0.25">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5.75" x14ac:dyDescent="0.25">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5.75" x14ac:dyDescent="0.25">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5.75" x14ac:dyDescent="0.25">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5.75" x14ac:dyDescent="0.25">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5.75" x14ac:dyDescent="0.25">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5.75" x14ac:dyDescent="0.25">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5.75" x14ac:dyDescent="0.25">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5.75" x14ac:dyDescent="0.25">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5.75" x14ac:dyDescent="0.25">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5.75" x14ac:dyDescent="0.25">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5.75" x14ac:dyDescent="0.25">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5.75" x14ac:dyDescent="0.25">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5.75" x14ac:dyDescent="0.25">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5.75" x14ac:dyDescent="0.25">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5.75" x14ac:dyDescent="0.25">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5.75" x14ac:dyDescent="0.25">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5.75" x14ac:dyDescent="0.25">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5.75" x14ac:dyDescent="0.25">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5.75" x14ac:dyDescent="0.25">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5.75" x14ac:dyDescent="0.25">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5.75" x14ac:dyDescent="0.25">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5.75" x14ac:dyDescent="0.25">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5.75" x14ac:dyDescent="0.25">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5.75" x14ac:dyDescent="0.25">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5.75" x14ac:dyDescent="0.25">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5.75" x14ac:dyDescent="0.25">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5.75" x14ac:dyDescent="0.25">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5.75" x14ac:dyDescent="0.25">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5.75" x14ac:dyDescent="0.25">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5.75" x14ac:dyDescent="0.25">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5.75" x14ac:dyDescent="0.25">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5.75" x14ac:dyDescent="0.25">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5.75" x14ac:dyDescent="0.25">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5.75" x14ac:dyDescent="0.25">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5.75" x14ac:dyDescent="0.25">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5.75" x14ac:dyDescent="0.25">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5.75" x14ac:dyDescent="0.25">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5.75" x14ac:dyDescent="0.25">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5.75" x14ac:dyDescent="0.25">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5.75" x14ac:dyDescent="0.25">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5.75" x14ac:dyDescent="0.25">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5.75" x14ac:dyDescent="0.25">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5.75" x14ac:dyDescent="0.25">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5.75" x14ac:dyDescent="0.25">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5.75" x14ac:dyDescent="0.25">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5.75" x14ac:dyDescent="0.25">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5.75" x14ac:dyDescent="0.25">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5.75" x14ac:dyDescent="0.25">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5.75" x14ac:dyDescent="0.25">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5.75" x14ac:dyDescent="0.25">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5.75" x14ac:dyDescent="0.25">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5.75" x14ac:dyDescent="0.25">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5.75" x14ac:dyDescent="0.25">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5.75" x14ac:dyDescent="0.25">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5.75" x14ac:dyDescent="0.25">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5.75" x14ac:dyDescent="0.25">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5.75" x14ac:dyDescent="0.25">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5.75" x14ac:dyDescent="0.25">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5.75" x14ac:dyDescent="0.25">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5.75" x14ac:dyDescent="0.25">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5.75" x14ac:dyDescent="0.25">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5.75" x14ac:dyDescent="0.25">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5.75" x14ac:dyDescent="0.25">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5.75" x14ac:dyDescent="0.25">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5.75" x14ac:dyDescent="0.25">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5.75" x14ac:dyDescent="0.25">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5.75" x14ac:dyDescent="0.25">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5.75" x14ac:dyDescent="0.25">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5.75" x14ac:dyDescent="0.25">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5.75" x14ac:dyDescent="0.25">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5.75" x14ac:dyDescent="0.25">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5.75" x14ac:dyDescent="0.25">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5.75" x14ac:dyDescent="0.25">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5.75" x14ac:dyDescent="0.25">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5.75" x14ac:dyDescent="0.25">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5.75" x14ac:dyDescent="0.25">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5.75" x14ac:dyDescent="0.25">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5.75" x14ac:dyDescent="0.25">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5.75" x14ac:dyDescent="0.25">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5.75" x14ac:dyDescent="0.25">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5.75" x14ac:dyDescent="0.25">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5.75" x14ac:dyDescent="0.25">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5.75" x14ac:dyDescent="0.25">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5.75" x14ac:dyDescent="0.25">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5.75" x14ac:dyDescent="0.25">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5.75" x14ac:dyDescent="0.25">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5.75" x14ac:dyDescent="0.25">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5.75" x14ac:dyDescent="0.25">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5.75" x14ac:dyDescent="0.25">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5.75" x14ac:dyDescent="0.25">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5.75" x14ac:dyDescent="0.25">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5.75" x14ac:dyDescent="0.25">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5.75" x14ac:dyDescent="0.25">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5.75" x14ac:dyDescent="0.25">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5.75" x14ac:dyDescent="0.25">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5.75" x14ac:dyDescent="0.25">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5.75" x14ac:dyDescent="0.25">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5.75" x14ac:dyDescent="0.25">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5.75" x14ac:dyDescent="0.25">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5.75" x14ac:dyDescent="0.25">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5.75" x14ac:dyDescent="0.25">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5.75" x14ac:dyDescent="0.25">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5.75" x14ac:dyDescent="0.25">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5.75" x14ac:dyDescent="0.25">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5.75" x14ac:dyDescent="0.25">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5.75" x14ac:dyDescent="0.25">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5.75" x14ac:dyDescent="0.25">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5.75" x14ac:dyDescent="0.25">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5.75" x14ac:dyDescent="0.25">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5.75" x14ac:dyDescent="0.25">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5.75" x14ac:dyDescent="0.25">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5.75" x14ac:dyDescent="0.25">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5.75" x14ac:dyDescent="0.25">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5.75" x14ac:dyDescent="0.25">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5.75" x14ac:dyDescent="0.25">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5.75" x14ac:dyDescent="0.25">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5.75" x14ac:dyDescent="0.25">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5.75" x14ac:dyDescent="0.25">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5.75" x14ac:dyDescent="0.25">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5.75" x14ac:dyDescent="0.25">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5.75" x14ac:dyDescent="0.25">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5.75" x14ac:dyDescent="0.25">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5.75" x14ac:dyDescent="0.25">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5.75" x14ac:dyDescent="0.25">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5.75" x14ac:dyDescent="0.25">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5.75" x14ac:dyDescent="0.25">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5.75" x14ac:dyDescent="0.25">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5.75" x14ac:dyDescent="0.25">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5.75" x14ac:dyDescent="0.25">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5.75" x14ac:dyDescent="0.25">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5.75" x14ac:dyDescent="0.25">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5.75" x14ac:dyDescent="0.25">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5.75" x14ac:dyDescent="0.25">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5.75" x14ac:dyDescent="0.25">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5.75" x14ac:dyDescent="0.25">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5.75" x14ac:dyDescent="0.25">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5.75" x14ac:dyDescent="0.25">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5.75" x14ac:dyDescent="0.25">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5.75" x14ac:dyDescent="0.25">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5.75" x14ac:dyDescent="0.25">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5.75" x14ac:dyDescent="0.25">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5.75" x14ac:dyDescent="0.25">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5.75" x14ac:dyDescent="0.25">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5.75" x14ac:dyDescent="0.25">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5.75" x14ac:dyDescent="0.25">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5.75" x14ac:dyDescent="0.25">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5.75" x14ac:dyDescent="0.25">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5.75" x14ac:dyDescent="0.25">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5.75" x14ac:dyDescent="0.25">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5.75" x14ac:dyDescent="0.25">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5.75" x14ac:dyDescent="0.25">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5.75" x14ac:dyDescent="0.25">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5.75" x14ac:dyDescent="0.25">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5.75" x14ac:dyDescent="0.25">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5.75" x14ac:dyDescent="0.25">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5.75" x14ac:dyDescent="0.25">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5.75" x14ac:dyDescent="0.25">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5.75" x14ac:dyDescent="0.25">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5.75" x14ac:dyDescent="0.25">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5.75" x14ac:dyDescent="0.25">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5.75" x14ac:dyDescent="0.25">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5.75" x14ac:dyDescent="0.25">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5.75" x14ac:dyDescent="0.25">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5.75" x14ac:dyDescent="0.25">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5.75" x14ac:dyDescent="0.25">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5.75" x14ac:dyDescent="0.25">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5.75" x14ac:dyDescent="0.25">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5.75" x14ac:dyDescent="0.25">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5.75" x14ac:dyDescent="0.25">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5.75" x14ac:dyDescent="0.25">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5.75" x14ac:dyDescent="0.25">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5.75" x14ac:dyDescent="0.25">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5.75" x14ac:dyDescent="0.25">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5.75" x14ac:dyDescent="0.25">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5.75" x14ac:dyDescent="0.25">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5.75" x14ac:dyDescent="0.25">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5.75" x14ac:dyDescent="0.25">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5.75" x14ac:dyDescent="0.25">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5.75" x14ac:dyDescent="0.25">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5.75" x14ac:dyDescent="0.25">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5.75" x14ac:dyDescent="0.25">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5.75" x14ac:dyDescent="0.25">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5.75" x14ac:dyDescent="0.25">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5.75" x14ac:dyDescent="0.25">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5.75" x14ac:dyDescent="0.25">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5.75" x14ac:dyDescent="0.25">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5.75" x14ac:dyDescent="0.25">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5.75" x14ac:dyDescent="0.25">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5.75" x14ac:dyDescent="0.25">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5.75" x14ac:dyDescent="0.25">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5.75" x14ac:dyDescent="0.25">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5.75" x14ac:dyDescent="0.25">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5.75" x14ac:dyDescent="0.25">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5.75" x14ac:dyDescent="0.25">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5.75" x14ac:dyDescent="0.25">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5.75" x14ac:dyDescent="0.25">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5.75" x14ac:dyDescent="0.25">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5.75" x14ac:dyDescent="0.25">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5.75" x14ac:dyDescent="0.25">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5.75" x14ac:dyDescent="0.25">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5.75" x14ac:dyDescent="0.25">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5.75" x14ac:dyDescent="0.25">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5.75" x14ac:dyDescent="0.25">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5.75" x14ac:dyDescent="0.25">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5.75" x14ac:dyDescent="0.25">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5.75" x14ac:dyDescent="0.25">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5.75" x14ac:dyDescent="0.25">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5.75" x14ac:dyDescent="0.25">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5.75" x14ac:dyDescent="0.25">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5.75" x14ac:dyDescent="0.25">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5.75" x14ac:dyDescent="0.25">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5.75" x14ac:dyDescent="0.25">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5.75" x14ac:dyDescent="0.25">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5.75" x14ac:dyDescent="0.25">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5.75" x14ac:dyDescent="0.25">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5.75" x14ac:dyDescent="0.25">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5.75" x14ac:dyDescent="0.25">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5.75" x14ac:dyDescent="0.25">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5.75" x14ac:dyDescent="0.25">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5.75" x14ac:dyDescent="0.25">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5.75" x14ac:dyDescent="0.25">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5.75" x14ac:dyDescent="0.25">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5.75" x14ac:dyDescent="0.25">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5.75" x14ac:dyDescent="0.25">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5.75" x14ac:dyDescent="0.25">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5.75" x14ac:dyDescent="0.25">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5.75" x14ac:dyDescent="0.25">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5.75" x14ac:dyDescent="0.25">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5.75" x14ac:dyDescent="0.25">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5.75" x14ac:dyDescent="0.25">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5.75" x14ac:dyDescent="0.25">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5.75" x14ac:dyDescent="0.25">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5.75" x14ac:dyDescent="0.25">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5.75" x14ac:dyDescent="0.25">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5.75" x14ac:dyDescent="0.25">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5.75" x14ac:dyDescent="0.25">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5.75" x14ac:dyDescent="0.25">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5.75" x14ac:dyDescent="0.25">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5.75" x14ac:dyDescent="0.25">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5.75" x14ac:dyDescent="0.25">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5.75" x14ac:dyDescent="0.25">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5.75" x14ac:dyDescent="0.25">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5.75" x14ac:dyDescent="0.25">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5.75" x14ac:dyDescent="0.25">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5.75" x14ac:dyDescent="0.25">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5.75" x14ac:dyDescent="0.25">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5.75" x14ac:dyDescent="0.25">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5.75" x14ac:dyDescent="0.25">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5.75" x14ac:dyDescent="0.25">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5.75" x14ac:dyDescent="0.25">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5.75" x14ac:dyDescent="0.25">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5.75" x14ac:dyDescent="0.25">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5.75" x14ac:dyDescent="0.25">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5.75" x14ac:dyDescent="0.25">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5.75" x14ac:dyDescent="0.25">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5.75" x14ac:dyDescent="0.25">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5.75" x14ac:dyDescent="0.25">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5.75" x14ac:dyDescent="0.25">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5.75" x14ac:dyDescent="0.25">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5.75" x14ac:dyDescent="0.25">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5.75" x14ac:dyDescent="0.25">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5.75" x14ac:dyDescent="0.25">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5.75" x14ac:dyDescent="0.25">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5.75" x14ac:dyDescent="0.25">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5.75" x14ac:dyDescent="0.25">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5.75" x14ac:dyDescent="0.25">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5.75" x14ac:dyDescent="0.25">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5.75" x14ac:dyDescent="0.25">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5.75" x14ac:dyDescent="0.25">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5.75" x14ac:dyDescent="0.25">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5.75" x14ac:dyDescent="0.25">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5.75" x14ac:dyDescent="0.25">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5.75" x14ac:dyDescent="0.25">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5.75" x14ac:dyDescent="0.25">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5.75" x14ac:dyDescent="0.25">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5.75" x14ac:dyDescent="0.25">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5.75" x14ac:dyDescent="0.25">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5.75" x14ac:dyDescent="0.25">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5.75" x14ac:dyDescent="0.25">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5.75" x14ac:dyDescent="0.25">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5.75" x14ac:dyDescent="0.25">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5.75" x14ac:dyDescent="0.25">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5.75" x14ac:dyDescent="0.25">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5.75" x14ac:dyDescent="0.25">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5.75" x14ac:dyDescent="0.25">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5.75" x14ac:dyDescent="0.25">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5.75" x14ac:dyDescent="0.25">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5.75" x14ac:dyDescent="0.25">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5.75" x14ac:dyDescent="0.25">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5.75" x14ac:dyDescent="0.25">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5.75" x14ac:dyDescent="0.25">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5.75" x14ac:dyDescent="0.25">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5.75" x14ac:dyDescent="0.25">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5.75" x14ac:dyDescent="0.25">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5.75" x14ac:dyDescent="0.25">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5.75" x14ac:dyDescent="0.25">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5.75" x14ac:dyDescent="0.25">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5.75" x14ac:dyDescent="0.25">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5.75" x14ac:dyDescent="0.25">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5.75" x14ac:dyDescent="0.25">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5.75" x14ac:dyDescent="0.25">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5.75" x14ac:dyDescent="0.25">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5.75" x14ac:dyDescent="0.25">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5.75" x14ac:dyDescent="0.25">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5.75" x14ac:dyDescent="0.25">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5.75" x14ac:dyDescent="0.25">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5.75" x14ac:dyDescent="0.25">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5.75" x14ac:dyDescent="0.25">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5.75" x14ac:dyDescent="0.25">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5.75" x14ac:dyDescent="0.25">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5.75" x14ac:dyDescent="0.25">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5.75" x14ac:dyDescent="0.25">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5.75" x14ac:dyDescent="0.25">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5.75" x14ac:dyDescent="0.25">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5.75" x14ac:dyDescent="0.25">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5.75" x14ac:dyDescent="0.25">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5.75" x14ac:dyDescent="0.25">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5.75" x14ac:dyDescent="0.25">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5.75" x14ac:dyDescent="0.25">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5.75" x14ac:dyDescent="0.25">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5.75" x14ac:dyDescent="0.25">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5.75" x14ac:dyDescent="0.25">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5.75" x14ac:dyDescent="0.25">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5.75" x14ac:dyDescent="0.25">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5.75" x14ac:dyDescent="0.25">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5.75" x14ac:dyDescent="0.25">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5.75" x14ac:dyDescent="0.25">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5.75" x14ac:dyDescent="0.25">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5.75" x14ac:dyDescent="0.25">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5.75" x14ac:dyDescent="0.25">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5.75" x14ac:dyDescent="0.25">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5.75" x14ac:dyDescent="0.25">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5.75" x14ac:dyDescent="0.25">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5.75" x14ac:dyDescent="0.25">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5.75" x14ac:dyDescent="0.25">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5.75" x14ac:dyDescent="0.25">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5.75" x14ac:dyDescent="0.25">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5.75" x14ac:dyDescent="0.25">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5.75" x14ac:dyDescent="0.25">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5.75" x14ac:dyDescent="0.25">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5.75" x14ac:dyDescent="0.25">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5.75" x14ac:dyDescent="0.25">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5.75" x14ac:dyDescent="0.25">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5.75" x14ac:dyDescent="0.25">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5.75" x14ac:dyDescent="0.25">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5.75" x14ac:dyDescent="0.25">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5.75" x14ac:dyDescent="0.25">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5.75" x14ac:dyDescent="0.25">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5.75" x14ac:dyDescent="0.25">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5.75" x14ac:dyDescent="0.25">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5.75" x14ac:dyDescent="0.25">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5.75" x14ac:dyDescent="0.25">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5.75" x14ac:dyDescent="0.25">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5.75" x14ac:dyDescent="0.25">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5.75" x14ac:dyDescent="0.25">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5.75" x14ac:dyDescent="0.25">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5.75" x14ac:dyDescent="0.25">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5.75" x14ac:dyDescent="0.25">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5.75" x14ac:dyDescent="0.25">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5.75" x14ac:dyDescent="0.25">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5.75" x14ac:dyDescent="0.25">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5.75" x14ac:dyDescent="0.25">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5.75" x14ac:dyDescent="0.25">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5.75" x14ac:dyDescent="0.25">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5.75" x14ac:dyDescent="0.25">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5.75" x14ac:dyDescent="0.25">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5.75" x14ac:dyDescent="0.25">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5.75" x14ac:dyDescent="0.25">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5.75" x14ac:dyDescent="0.25">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5.75" x14ac:dyDescent="0.25">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5.75" x14ac:dyDescent="0.25">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5.75" x14ac:dyDescent="0.25">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5.75" x14ac:dyDescent="0.25">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5.75" x14ac:dyDescent="0.25">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5.75" x14ac:dyDescent="0.25">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5.75" x14ac:dyDescent="0.25">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5.75" x14ac:dyDescent="0.25">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5.75" x14ac:dyDescent="0.25">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5.75" x14ac:dyDescent="0.25">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5.75" x14ac:dyDescent="0.25">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5.75" x14ac:dyDescent="0.25">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5.75" x14ac:dyDescent="0.25">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5.75" x14ac:dyDescent="0.25">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5.75" x14ac:dyDescent="0.25">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5.75" x14ac:dyDescent="0.25">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5.75" x14ac:dyDescent="0.25">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5.75" x14ac:dyDescent="0.25">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5.75" x14ac:dyDescent="0.25">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5.75" x14ac:dyDescent="0.25">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5.75" x14ac:dyDescent="0.25">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5.75" x14ac:dyDescent="0.25">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5.75" x14ac:dyDescent="0.25">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5.75" x14ac:dyDescent="0.25">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5.75" x14ac:dyDescent="0.25">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5.75" x14ac:dyDescent="0.25">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5.75" x14ac:dyDescent="0.25">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5.75" x14ac:dyDescent="0.25">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5.75" x14ac:dyDescent="0.25">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5.75" x14ac:dyDescent="0.25">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5.75" x14ac:dyDescent="0.25">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5.75" x14ac:dyDescent="0.25">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5.75" x14ac:dyDescent="0.25">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5.75" x14ac:dyDescent="0.25">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5.75" x14ac:dyDescent="0.25">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5.75" x14ac:dyDescent="0.25">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5.75" x14ac:dyDescent="0.25">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5.75" x14ac:dyDescent="0.25">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5.75" x14ac:dyDescent="0.25">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5.75" x14ac:dyDescent="0.25">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5.75" x14ac:dyDescent="0.25">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5.75" x14ac:dyDescent="0.25">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5.75" x14ac:dyDescent="0.25">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5.75" x14ac:dyDescent="0.25">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5.75" x14ac:dyDescent="0.25">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5.75" x14ac:dyDescent="0.25">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5.75" x14ac:dyDescent="0.25">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5.75" x14ac:dyDescent="0.25">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5.75" x14ac:dyDescent="0.25">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5.75" x14ac:dyDescent="0.25">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5.75" x14ac:dyDescent="0.25">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5.75" x14ac:dyDescent="0.25">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5.75" x14ac:dyDescent="0.25">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5.75" x14ac:dyDescent="0.25">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5.75" x14ac:dyDescent="0.25">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5.75" x14ac:dyDescent="0.25">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5.75" x14ac:dyDescent="0.25">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5.75" x14ac:dyDescent="0.25">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5.75" x14ac:dyDescent="0.25">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5.75" x14ac:dyDescent="0.25">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5.75" x14ac:dyDescent="0.25">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5.75" x14ac:dyDescent="0.25">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5.75" x14ac:dyDescent="0.25">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5.75" x14ac:dyDescent="0.25">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5.75" x14ac:dyDescent="0.25">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5.75" x14ac:dyDescent="0.25">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5.75" x14ac:dyDescent="0.25">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5.75" x14ac:dyDescent="0.25">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5.75" x14ac:dyDescent="0.25">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5.75" x14ac:dyDescent="0.25">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5.75" x14ac:dyDescent="0.25">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5.75" x14ac:dyDescent="0.25">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5.75" x14ac:dyDescent="0.25">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5.75" x14ac:dyDescent="0.25">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5.75" x14ac:dyDescent="0.25">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5.75" x14ac:dyDescent="0.25">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5.75" x14ac:dyDescent="0.25">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5.75" x14ac:dyDescent="0.25">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5.75" x14ac:dyDescent="0.25">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5.75" x14ac:dyDescent="0.25">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5.75" x14ac:dyDescent="0.25">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5.75" x14ac:dyDescent="0.25">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5.75" x14ac:dyDescent="0.25">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5.75" x14ac:dyDescent="0.25">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5.75" x14ac:dyDescent="0.25">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5.75" x14ac:dyDescent="0.25">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5.75" x14ac:dyDescent="0.25">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5.75" x14ac:dyDescent="0.25">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5.75" x14ac:dyDescent="0.25">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5.75" x14ac:dyDescent="0.25">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5.75" x14ac:dyDescent="0.25">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5.75" x14ac:dyDescent="0.25">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5.75" x14ac:dyDescent="0.25">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5.75" x14ac:dyDescent="0.25">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5.75" x14ac:dyDescent="0.25">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5.75" x14ac:dyDescent="0.25">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5.75" x14ac:dyDescent="0.25">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5.75" x14ac:dyDescent="0.25">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5.75" x14ac:dyDescent="0.25">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5.75" x14ac:dyDescent="0.25">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5.75" x14ac:dyDescent="0.25">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5.75" x14ac:dyDescent="0.25">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5.75" x14ac:dyDescent="0.25">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5.75" x14ac:dyDescent="0.25">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5.75" x14ac:dyDescent="0.25">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5.75" x14ac:dyDescent="0.25">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5.75" x14ac:dyDescent="0.25">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5.75" x14ac:dyDescent="0.25">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5.75" x14ac:dyDescent="0.25">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5.75" x14ac:dyDescent="0.25">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5.75" x14ac:dyDescent="0.25">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5.75" x14ac:dyDescent="0.25">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5.75" x14ac:dyDescent="0.25">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5.75" x14ac:dyDescent="0.25">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5.75" x14ac:dyDescent="0.25">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5.75" x14ac:dyDescent="0.25">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5.75" x14ac:dyDescent="0.25">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5.75" x14ac:dyDescent="0.25">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5.75" x14ac:dyDescent="0.25">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5.75" x14ac:dyDescent="0.25">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5.75" x14ac:dyDescent="0.25">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5.75" x14ac:dyDescent="0.25">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5.75" x14ac:dyDescent="0.25">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5.75" x14ac:dyDescent="0.25">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5.75" x14ac:dyDescent="0.25">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5.75" x14ac:dyDescent="0.25">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5.75" x14ac:dyDescent="0.25">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5.75" x14ac:dyDescent="0.25">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5.75" x14ac:dyDescent="0.25">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5.75" x14ac:dyDescent="0.25">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5.75" x14ac:dyDescent="0.25">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5.75" x14ac:dyDescent="0.25">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5.75" x14ac:dyDescent="0.25">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5.75" x14ac:dyDescent="0.25">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5.75" x14ac:dyDescent="0.25">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5.75" x14ac:dyDescent="0.25">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5.75" x14ac:dyDescent="0.25">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5.75" x14ac:dyDescent="0.25">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5.75" x14ac:dyDescent="0.25">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5.75" x14ac:dyDescent="0.25">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5.75" x14ac:dyDescent="0.25">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5.75" x14ac:dyDescent="0.25">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5.75" x14ac:dyDescent="0.25">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5.75" x14ac:dyDescent="0.25">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5.75" x14ac:dyDescent="0.25">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5.75" x14ac:dyDescent="0.25">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5.75" x14ac:dyDescent="0.25">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5.75" x14ac:dyDescent="0.25">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5.75" x14ac:dyDescent="0.25">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5.75" x14ac:dyDescent="0.25">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5.75" x14ac:dyDescent="0.25">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5.75" x14ac:dyDescent="0.25">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5.75" x14ac:dyDescent="0.25">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5.75" x14ac:dyDescent="0.25">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5.75" x14ac:dyDescent="0.25">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5.75" x14ac:dyDescent="0.25">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5.75" x14ac:dyDescent="0.25">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5.75" x14ac:dyDescent="0.25">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5.75" x14ac:dyDescent="0.25">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5.75" x14ac:dyDescent="0.25">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5.75" x14ac:dyDescent="0.25">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5.75" x14ac:dyDescent="0.25">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5.75" x14ac:dyDescent="0.25">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5.75" x14ac:dyDescent="0.25">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5.75" x14ac:dyDescent="0.25">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5.75" x14ac:dyDescent="0.25">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5.75" x14ac:dyDescent="0.25">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5.75" x14ac:dyDescent="0.25">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5.75" x14ac:dyDescent="0.25">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5.75" x14ac:dyDescent="0.25">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5.75" x14ac:dyDescent="0.25">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5.75" x14ac:dyDescent="0.25">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5.75" x14ac:dyDescent="0.25">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5.75" x14ac:dyDescent="0.25">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5.75" x14ac:dyDescent="0.25">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5.75" x14ac:dyDescent="0.25">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5.75" x14ac:dyDescent="0.25">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5.75" x14ac:dyDescent="0.25">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5.75" x14ac:dyDescent="0.25">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5.75" x14ac:dyDescent="0.25">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5.75" x14ac:dyDescent="0.25">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5.75" x14ac:dyDescent="0.25">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5.75" x14ac:dyDescent="0.25">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5.75" x14ac:dyDescent="0.25">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5.75" x14ac:dyDescent="0.25">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5.75" x14ac:dyDescent="0.25">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5.75" x14ac:dyDescent="0.25">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5.75" x14ac:dyDescent="0.25">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5.75" x14ac:dyDescent="0.25">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5.75" x14ac:dyDescent="0.25">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5.75" x14ac:dyDescent="0.25">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5.75" x14ac:dyDescent="0.25">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5.75" x14ac:dyDescent="0.25">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5.75" x14ac:dyDescent="0.25">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5.75" x14ac:dyDescent="0.25">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5.75" x14ac:dyDescent="0.25">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5.75" x14ac:dyDescent="0.25">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5.75" x14ac:dyDescent="0.25">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5.75" x14ac:dyDescent="0.25">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5.75" x14ac:dyDescent="0.25">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5.75" x14ac:dyDescent="0.25">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5.75" x14ac:dyDescent="0.25">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5.75" x14ac:dyDescent="0.25">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5.75" x14ac:dyDescent="0.25">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5.75" x14ac:dyDescent="0.25">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5.75" x14ac:dyDescent="0.25">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5.75" x14ac:dyDescent="0.25">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5.75" x14ac:dyDescent="0.25">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5.75" x14ac:dyDescent="0.25">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5.75" x14ac:dyDescent="0.25">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5.75" x14ac:dyDescent="0.25">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5.75" x14ac:dyDescent="0.25">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5.75" x14ac:dyDescent="0.25">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5.75" x14ac:dyDescent="0.25">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5.75" x14ac:dyDescent="0.25">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5.75" x14ac:dyDescent="0.25">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5.75" x14ac:dyDescent="0.25">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5.75" x14ac:dyDescent="0.25">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5.75" x14ac:dyDescent="0.25">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5.75" x14ac:dyDescent="0.25">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5.75" x14ac:dyDescent="0.25">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5.75" x14ac:dyDescent="0.25">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5.75" x14ac:dyDescent="0.25">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5.75" x14ac:dyDescent="0.25">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5.75" x14ac:dyDescent="0.25">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5.75" x14ac:dyDescent="0.25">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5.75" x14ac:dyDescent="0.25">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5.75" x14ac:dyDescent="0.25">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5.75" x14ac:dyDescent="0.25">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5.75" x14ac:dyDescent="0.25">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5.75" x14ac:dyDescent="0.25">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5.75" x14ac:dyDescent="0.25">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5.75" x14ac:dyDescent="0.25">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5.75" x14ac:dyDescent="0.25">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5.75" x14ac:dyDescent="0.25">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5.75" x14ac:dyDescent="0.25">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5.75" x14ac:dyDescent="0.25">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5.75" x14ac:dyDescent="0.25">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5.75" x14ac:dyDescent="0.25">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5.75" x14ac:dyDescent="0.25">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5.75" x14ac:dyDescent="0.25">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5.75" x14ac:dyDescent="0.25">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5.75" x14ac:dyDescent="0.25">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5.75" x14ac:dyDescent="0.25">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5.75" x14ac:dyDescent="0.25">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5.75" x14ac:dyDescent="0.25">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5.75" x14ac:dyDescent="0.25">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5.75" x14ac:dyDescent="0.25">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5.75" x14ac:dyDescent="0.25">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5.75" x14ac:dyDescent="0.25">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5.75" x14ac:dyDescent="0.25">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5.75" x14ac:dyDescent="0.25">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5.75" x14ac:dyDescent="0.25">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5.75" x14ac:dyDescent="0.25">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5.75" x14ac:dyDescent="0.25">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5.75" x14ac:dyDescent="0.25">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5.75" x14ac:dyDescent="0.25">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5.75" x14ac:dyDescent="0.25">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5.75" x14ac:dyDescent="0.25">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5.75" x14ac:dyDescent="0.25">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5.75" x14ac:dyDescent="0.25">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5.75" x14ac:dyDescent="0.25">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5.75" x14ac:dyDescent="0.25">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5.75" x14ac:dyDescent="0.25">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5.75" x14ac:dyDescent="0.25">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5.75" x14ac:dyDescent="0.25">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5.75" x14ac:dyDescent="0.25">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5.75" x14ac:dyDescent="0.25">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5.75" x14ac:dyDescent="0.25">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5.75" x14ac:dyDescent="0.25">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5.75" x14ac:dyDescent="0.25">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5.75" x14ac:dyDescent="0.25">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5.75" x14ac:dyDescent="0.25">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5.75" x14ac:dyDescent="0.25">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5.75" x14ac:dyDescent="0.25">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5.75" x14ac:dyDescent="0.25">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5.75" x14ac:dyDescent="0.25">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5.75" x14ac:dyDescent="0.25">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5.75" x14ac:dyDescent="0.25">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5.75" x14ac:dyDescent="0.25">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5.75" x14ac:dyDescent="0.25">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5.75" x14ac:dyDescent="0.25">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5.75" x14ac:dyDescent="0.25">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5.75" x14ac:dyDescent="0.25">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5.75" x14ac:dyDescent="0.25">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5.75" x14ac:dyDescent="0.25">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5.75" x14ac:dyDescent="0.25">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5.75" x14ac:dyDescent="0.25">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5.75" x14ac:dyDescent="0.25">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5.75" x14ac:dyDescent="0.25">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5.75" x14ac:dyDescent="0.25">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5.75" x14ac:dyDescent="0.25">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5.75" x14ac:dyDescent="0.25">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5.75" x14ac:dyDescent="0.25">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5.75" x14ac:dyDescent="0.25">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5.75" x14ac:dyDescent="0.25">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5.75" x14ac:dyDescent="0.25">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5.75" x14ac:dyDescent="0.25">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5.75" x14ac:dyDescent="0.25">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5.75" x14ac:dyDescent="0.25">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5.75" x14ac:dyDescent="0.25">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5.75" x14ac:dyDescent="0.25">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5.75" x14ac:dyDescent="0.25">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5.75" x14ac:dyDescent="0.25">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5.75" x14ac:dyDescent="0.25">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5.75" x14ac:dyDescent="0.25">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5.75" x14ac:dyDescent="0.25">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5.75" x14ac:dyDescent="0.25">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5.75" x14ac:dyDescent="0.25">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5.75" x14ac:dyDescent="0.25">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5.75" x14ac:dyDescent="0.25">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5.75" x14ac:dyDescent="0.25">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5.75" x14ac:dyDescent="0.25">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5.75" x14ac:dyDescent="0.25">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5.75" x14ac:dyDescent="0.25">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5.75" x14ac:dyDescent="0.25">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5.75" x14ac:dyDescent="0.25">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5.75" x14ac:dyDescent="0.25">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5.75" x14ac:dyDescent="0.25">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5.75" x14ac:dyDescent="0.25">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5.75" x14ac:dyDescent="0.25">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5.75" x14ac:dyDescent="0.25">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5.75" x14ac:dyDescent="0.25">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5.75" x14ac:dyDescent="0.25">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5.75" x14ac:dyDescent="0.25">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5.75" x14ac:dyDescent="0.25">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5.75" x14ac:dyDescent="0.25">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5.75" x14ac:dyDescent="0.25">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5.75" x14ac:dyDescent="0.25">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5.75" x14ac:dyDescent="0.25">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5.75" x14ac:dyDescent="0.25">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5.75" x14ac:dyDescent="0.25">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5.75" x14ac:dyDescent="0.25">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5.75" x14ac:dyDescent="0.25">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5.75" x14ac:dyDescent="0.25">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5.75" x14ac:dyDescent="0.25">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5.75" x14ac:dyDescent="0.25">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5.75" x14ac:dyDescent="0.25">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5.75" x14ac:dyDescent="0.25">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5.75" x14ac:dyDescent="0.25">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5.75" x14ac:dyDescent="0.25">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5.75" x14ac:dyDescent="0.25">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5.75" x14ac:dyDescent="0.25">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5.75" x14ac:dyDescent="0.25">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5.75" x14ac:dyDescent="0.25">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5.75" x14ac:dyDescent="0.25">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5.75" x14ac:dyDescent="0.25">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5.75" x14ac:dyDescent="0.25">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5.75" x14ac:dyDescent="0.25">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5.75" x14ac:dyDescent="0.25">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5.75" x14ac:dyDescent="0.25">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5.75" x14ac:dyDescent="0.25">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5.75" x14ac:dyDescent="0.25">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5.75" x14ac:dyDescent="0.25">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5.75" x14ac:dyDescent="0.25">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5.75" x14ac:dyDescent="0.25">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5.75" x14ac:dyDescent="0.25">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5.75" x14ac:dyDescent="0.25">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5.75" x14ac:dyDescent="0.25">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5.75" x14ac:dyDescent="0.25">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5.75" x14ac:dyDescent="0.25">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5.75" x14ac:dyDescent="0.25">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5.75" x14ac:dyDescent="0.25">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5.75" x14ac:dyDescent="0.25">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5.75" x14ac:dyDescent="0.25">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5.75" x14ac:dyDescent="0.25">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5.75" x14ac:dyDescent="0.25">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5.75" x14ac:dyDescent="0.25">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5.75" x14ac:dyDescent="0.25">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5.75" x14ac:dyDescent="0.25">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5.75" x14ac:dyDescent="0.25">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5.75" x14ac:dyDescent="0.25">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5.75" x14ac:dyDescent="0.25">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5.75" x14ac:dyDescent="0.25">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5.75" x14ac:dyDescent="0.25">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5.75" x14ac:dyDescent="0.25">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5.75" x14ac:dyDescent="0.25">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5.75" x14ac:dyDescent="0.25">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5.75" x14ac:dyDescent="0.25">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5.75" x14ac:dyDescent="0.25">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5.75" x14ac:dyDescent="0.25">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5.75" x14ac:dyDescent="0.25">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5.75" x14ac:dyDescent="0.25">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5.75" x14ac:dyDescent="0.25">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5.75" x14ac:dyDescent="0.25">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5.75" x14ac:dyDescent="0.25">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5.75" x14ac:dyDescent="0.25">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5.75" x14ac:dyDescent="0.25">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5.75" x14ac:dyDescent="0.25">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5.75" x14ac:dyDescent="0.25">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5.75" x14ac:dyDescent="0.25">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5.75" x14ac:dyDescent="0.25">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5.75" x14ac:dyDescent="0.25">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5.75" x14ac:dyDescent="0.25">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5.75" x14ac:dyDescent="0.25">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5.75" x14ac:dyDescent="0.25">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5.75" x14ac:dyDescent="0.25">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5.75" x14ac:dyDescent="0.25">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5.75" x14ac:dyDescent="0.25">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5.75" x14ac:dyDescent="0.25">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5.75" x14ac:dyDescent="0.25">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5.75" x14ac:dyDescent="0.25">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5.75" x14ac:dyDescent="0.25">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5.75" x14ac:dyDescent="0.25">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5.75" x14ac:dyDescent="0.25">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5.75" x14ac:dyDescent="0.25">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5.75" x14ac:dyDescent="0.25">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5.75" x14ac:dyDescent="0.25">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5.75" x14ac:dyDescent="0.25">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5.75" x14ac:dyDescent="0.25">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5.75" x14ac:dyDescent="0.25">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5.75" x14ac:dyDescent="0.25">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5.75" x14ac:dyDescent="0.25">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5.75" x14ac:dyDescent="0.25">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5.75" x14ac:dyDescent="0.25">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5.75" x14ac:dyDescent="0.25">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5.75" x14ac:dyDescent="0.25">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5.75" x14ac:dyDescent="0.25">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5.75" x14ac:dyDescent="0.25">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5.75" x14ac:dyDescent="0.25">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5.75" x14ac:dyDescent="0.25">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5.75" x14ac:dyDescent="0.25">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5.75" x14ac:dyDescent="0.25">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5.75" x14ac:dyDescent="0.25">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5.75" x14ac:dyDescent="0.25">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5.75" x14ac:dyDescent="0.25">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5.75" x14ac:dyDescent="0.25">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5.75" x14ac:dyDescent="0.25">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5.75" x14ac:dyDescent="0.25">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5.75" x14ac:dyDescent="0.25">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5.75" x14ac:dyDescent="0.25">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5.75" x14ac:dyDescent="0.25">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5.75" x14ac:dyDescent="0.25">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5.75" x14ac:dyDescent="0.25">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5.75" x14ac:dyDescent="0.25">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5.75" x14ac:dyDescent="0.25">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5.75" x14ac:dyDescent="0.25">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5.75" x14ac:dyDescent="0.25">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5.75" x14ac:dyDescent="0.25">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5.75" x14ac:dyDescent="0.25">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5.75" x14ac:dyDescent="0.25">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5.75" x14ac:dyDescent="0.25">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5.75" x14ac:dyDescent="0.25">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5.75" x14ac:dyDescent="0.25">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5.75" x14ac:dyDescent="0.25">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5.75" x14ac:dyDescent="0.25">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5.75" x14ac:dyDescent="0.25">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5.75" x14ac:dyDescent="0.25">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5.75" x14ac:dyDescent="0.25">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5.75" x14ac:dyDescent="0.25">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5.75" x14ac:dyDescent="0.25">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5.75" x14ac:dyDescent="0.25">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5.75" x14ac:dyDescent="0.25">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5.75" x14ac:dyDescent="0.25">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5.75" x14ac:dyDescent="0.25">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row r="1001" spans="1:26" ht="15.75" x14ac:dyDescent="0.25">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row>
    <row r="1002" spans="1:26" ht="15.75" x14ac:dyDescent="0.25">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row>
    <row r="1003" spans="1:26" ht="15.75" x14ac:dyDescent="0.25">
      <c r="A1003" s="145"/>
      <c r="B1003" s="145"/>
      <c r="C1003" s="145"/>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row>
    <row r="1004" spans="1:26" ht="15.75" x14ac:dyDescent="0.25">
      <c r="A1004" s="145"/>
      <c r="B1004" s="145"/>
      <c r="C1004" s="145"/>
      <c r="D1004" s="145"/>
      <c r="E1004" s="145"/>
      <c r="F1004" s="145"/>
      <c r="G1004" s="145"/>
      <c r="H1004" s="145"/>
      <c r="I1004" s="145"/>
      <c r="J1004" s="145"/>
      <c r="K1004" s="145"/>
      <c r="L1004" s="145"/>
      <c r="M1004" s="145"/>
      <c r="N1004" s="145"/>
      <c r="O1004" s="145"/>
      <c r="P1004" s="145"/>
      <c r="Q1004" s="145"/>
      <c r="R1004" s="145"/>
      <c r="S1004" s="145"/>
      <c r="T1004" s="145"/>
      <c r="U1004" s="145"/>
      <c r="V1004" s="145"/>
      <c r="W1004" s="145"/>
      <c r="X1004" s="145"/>
      <c r="Y1004" s="145"/>
      <c r="Z1004" s="145"/>
    </row>
    <row r="1005" spans="1:26" ht="15.75" x14ac:dyDescent="0.25">
      <c r="A1005" s="145"/>
      <c r="B1005" s="145"/>
      <c r="C1005" s="145"/>
      <c r="D1005" s="145"/>
      <c r="E1005" s="145"/>
      <c r="F1005" s="145"/>
      <c r="G1005" s="145"/>
      <c r="H1005" s="145"/>
      <c r="I1005" s="145"/>
      <c r="J1005" s="145"/>
      <c r="K1005" s="145"/>
      <c r="L1005" s="145"/>
      <c r="M1005" s="145"/>
      <c r="N1005" s="145"/>
      <c r="O1005" s="145"/>
      <c r="P1005" s="145"/>
      <c r="Q1005" s="145"/>
      <c r="R1005" s="145"/>
      <c r="S1005" s="145"/>
      <c r="T1005" s="145"/>
      <c r="U1005" s="145"/>
      <c r="V1005" s="145"/>
      <c r="W1005" s="145"/>
      <c r="X1005" s="145"/>
      <c r="Y1005" s="145"/>
      <c r="Z1005" s="145"/>
    </row>
    <row r="1006" spans="1:26" ht="15.75" x14ac:dyDescent="0.25">
      <c r="A1006" s="145"/>
      <c r="B1006" s="145"/>
      <c r="C1006" s="145"/>
      <c r="D1006" s="145"/>
      <c r="E1006" s="145"/>
      <c r="F1006" s="145"/>
      <c r="G1006" s="145"/>
      <c r="H1006" s="145"/>
      <c r="I1006" s="145"/>
      <c r="J1006" s="145"/>
      <c r="K1006" s="145"/>
      <c r="L1006" s="145"/>
      <c r="M1006" s="145"/>
      <c r="N1006" s="145"/>
      <c r="O1006" s="145"/>
      <c r="P1006" s="145"/>
      <c r="Q1006" s="145"/>
      <c r="R1006" s="145"/>
      <c r="S1006" s="145"/>
      <c r="T1006" s="145"/>
      <c r="U1006" s="145"/>
      <c r="V1006" s="145"/>
      <c r="W1006" s="145"/>
      <c r="X1006" s="145"/>
      <c r="Y1006" s="145"/>
      <c r="Z1006" s="145"/>
    </row>
    <row r="1007" spans="1:26" ht="15.75" x14ac:dyDescent="0.25">
      <c r="A1007" s="145"/>
      <c r="B1007" s="145"/>
      <c r="C1007" s="145"/>
      <c r="D1007" s="145"/>
      <c r="E1007" s="145"/>
      <c r="F1007" s="145"/>
      <c r="G1007" s="145"/>
      <c r="H1007" s="145"/>
      <c r="I1007" s="145"/>
      <c r="J1007" s="145"/>
      <c r="K1007" s="145"/>
      <c r="L1007" s="145"/>
      <c r="M1007" s="145"/>
      <c r="N1007" s="145"/>
      <c r="O1007" s="145"/>
      <c r="P1007" s="145"/>
      <c r="Q1007" s="145"/>
      <c r="R1007" s="145"/>
      <c r="S1007" s="145"/>
      <c r="T1007" s="145"/>
      <c r="U1007" s="145"/>
      <c r="V1007" s="145"/>
      <c r="W1007" s="145"/>
      <c r="X1007" s="145"/>
      <c r="Y1007" s="145"/>
      <c r="Z1007" s="145"/>
    </row>
    <row r="1008" spans="1:26" ht="15.75" x14ac:dyDescent="0.25">
      <c r="A1008" s="145"/>
      <c r="B1008" s="145"/>
      <c r="C1008" s="145"/>
      <c r="D1008" s="145"/>
      <c r="E1008" s="145"/>
      <c r="F1008" s="145"/>
      <c r="G1008" s="145"/>
      <c r="H1008" s="145"/>
      <c r="I1008" s="145"/>
      <c r="J1008" s="145"/>
      <c r="K1008" s="145"/>
      <c r="L1008" s="145"/>
      <c r="M1008" s="145"/>
      <c r="N1008" s="145"/>
      <c r="O1008" s="145"/>
      <c r="P1008" s="145"/>
      <c r="Q1008" s="145"/>
      <c r="R1008" s="145"/>
      <c r="S1008" s="145"/>
      <c r="T1008" s="145"/>
      <c r="U1008" s="145"/>
      <c r="V1008" s="145"/>
      <c r="W1008" s="145"/>
      <c r="X1008" s="145"/>
      <c r="Y1008" s="145"/>
      <c r="Z1008" s="145"/>
    </row>
    <row r="1009" spans="1:26" ht="15.75" x14ac:dyDescent="0.25">
      <c r="A1009" s="145"/>
      <c r="B1009" s="145"/>
      <c r="C1009" s="145"/>
      <c r="D1009" s="145"/>
      <c r="E1009" s="145"/>
      <c r="F1009" s="145"/>
      <c r="G1009" s="145"/>
      <c r="H1009" s="145"/>
      <c r="I1009" s="145"/>
      <c r="J1009" s="145"/>
      <c r="K1009" s="145"/>
      <c r="L1009" s="145"/>
      <c r="M1009" s="145"/>
      <c r="N1009" s="145"/>
      <c r="O1009" s="145"/>
      <c r="P1009" s="145"/>
      <c r="Q1009" s="145"/>
      <c r="R1009" s="145"/>
      <c r="S1009" s="145"/>
      <c r="T1009" s="145"/>
      <c r="U1009" s="145"/>
      <c r="V1009" s="145"/>
      <c r="W1009" s="145"/>
      <c r="X1009" s="145"/>
      <c r="Y1009" s="145"/>
      <c r="Z1009" s="145"/>
    </row>
  </sheetData>
  <mergeCells count="49">
    <mergeCell ref="A117:C117"/>
    <mergeCell ref="A83:D83"/>
    <mergeCell ref="A87:C87"/>
    <mergeCell ref="A88:C88"/>
    <mergeCell ref="A89:C89"/>
    <mergeCell ref="A90:C90"/>
    <mergeCell ref="A91:C91"/>
    <mergeCell ref="A95:C95"/>
    <mergeCell ref="A96:C96"/>
    <mergeCell ref="A97:C97"/>
    <mergeCell ref="A98:C98"/>
    <mergeCell ref="A116:C116"/>
    <mergeCell ref="L42:N42"/>
    <mergeCell ref="P42:R42"/>
    <mergeCell ref="A78:D78"/>
    <mergeCell ref="A79:D79"/>
    <mergeCell ref="A80:D80"/>
    <mergeCell ref="A82:D82"/>
    <mergeCell ref="A35:E35"/>
    <mergeCell ref="A36:E36"/>
    <mergeCell ref="A37:E37"/>
    <mergeCell ref="A38:E38"/>
    <mergeCell ref="A42:B42"/>
    <mergeCell ref="C42:D42"/>
    <mergeCell ref="E42:K42"/>
    <mergeCell ref="A34:E34"/>
    <mergeCell ref="A21:E21"/>
    <mergeCell ref="A22:E22"/>
    <mergeCell ref="A23:E23"/>
    <mergeCell ref="A24:E24"/>
    <mergeCell ref="A27:E27"/>
    <mergeCell ref="A28:E28"/>
    <mergeCell ref="A29:E29"/>
    <mergeCell ref="A30:E30"/>
    <mergeCell ref="A31:E31"/>
    <mergeCell ref="A32:E32"/>
    <mergeCell ref="A33:E33"/>
    <mergeCell ref="A20:E20"/>
    <mergeCell ref="A4:H4"/>
    <mergeCell ref="A9:H9"/>
    <mergeCell ref="A10:E10"/>
    <mergeCell ref="A11:E11"/>
    <mergeCell ref="A12:E12"/>
    <mergeCell ref="A13:E13"/>
    <mergeCell ref="A14:E14"/>
    <mergeCell ref="A15:E15"/>
    <mergeCell ref="A16:E16"/>
    <mergeCell ref="A18:E18"/>
    <mergeCell ref="A19:E19"/>
  </mergeCells>
  <hyperlinks>
    <hyperlink ref="I89" r:id="rId1" xr:uid="{523F85E6-0A2A-4202-AE7F-910E5B754384}"/>
    <hyperlink ref="I87" r:id="rId2" location="fi_id7000000778" display="https://co2data.fi/rakentaminen/ - fi_id7000000778" xr:uid="{9A73DA6C-48EF-4905-9EE8-5CA23736CB4D}"/>
    <hyperlink ref="I88" r:id="rId3" location="fi_id7000000763" display="https://co2data.fi/rakentaminen/ - fi_id7000000763" xr:uid="{E0ED5C19-82AF-465B-B9FD-F8946BE259C8}"/>
    <hyperlink ref="I91" r:id="rId4" xr:uid="{023B4EDD-8692-4233-89FC-158E1DE4169E}"/>
  </hyperlinks>
  <pageMargins left="0.7" right="0.7" top="0.75" bottom="0.75" header="0.3" footer="0.3"/>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Kansilehti</vt:lpstr>
      <vt:lpstr>Kohteen järjes. kannattavuus</vt:lpstr>
      <vt:lpstr>IVLP 20v kannattavuus</vt:lpstr>
      <vt:lpstr>MLP 25v kannattavuus</vt:lpstr>
      <vt:lpstr>PV 30v kannattavuus 3</vt:lpstr>
      <vt:lpstr>PV 30v kannattavuus 5</vt:lpstr>
    </vt:vector>
  </TitlesOfParts>
  <Company>Suomen ymp?rist?keskus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Rummukainen Miika</dc:creator>
  <cp:lastModifiedBy>Komokallio Roosa</cp:lastModifiedBy>
  <dcterms:created xsi:type="dcterms:W3CDTF">2020-04-22T10:23:42Z</dcterms:created>
  <dcterms:modified xsi:type="dcterms:W3CDTF">2024-11-06T13:23:14Z</dcterms:modified>
</cp:coreProperties>
</file>